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3\Taryba 2023-07-27\TS nuo 239\"/>
    </mc:Choice>
  </mc:AlternateContent>
  <xr:revisionPtr revIDLastSave="0" documentId="13_ncr:1_{723DD522-FCBE-4221-A5BE-D6AAA4EB6B51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1 priedas" sheetId="1" r:id="rId1"/>
    <sheet name="2 priedas" sheetId="2" r:id="rId2"/>
    <sheet name="5-išl.pagal programas " sheetId="15" state="hidden" r:id="rId3"/>
    <sheet name="4 priedas" sheetId="14" r:id="rId4"/>
    <sheet name="5 priedas" sheetId="20" r:id="rId5"/>
    <sheet name="6 priedas" sheetId="8" r:id="rId6"/>
    <sheet name="8 priedas" sheetId="3" r:id="rId7"/>
  </sheets>
  <definedNames>
    <definedName name="OLE_LINK2" localSheetId="0">'1 priedas'!#REF!</definedName>
    <definedName name="_xlnm.Print_Titles" localSheetId="0">'1 priedas'!$11:$11</definedName>
    <definedName name="_xlnm.Print_Titles" localSheetId="1">'2 priedas'!$9:$9</definedName>
    <definedName name="_xlnm.Print_Titles" localSheetId="3">'4 priedas'!$15:$16</definedName>
    <definedName name="_xlnm.Print_Titles" localSheetId="4">'5 priedas'!$14:$15</definedName>
    <definedName name="_xlnm.Print_Titles" localSheetId="2">'5-išl.pagal programas '!#REF!</definedName>
    <definedName name="_xlnm.Print_Titles" localSheetId="5">'6 priedas'!$11:$12</definedName>
    <definedName name="_xlnm.Print_Titles" localSheetId="6">'8 priedas'!#REF!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3" l="1"/>
  <c r="O48" i="3"/>
  <c r="N48" i="3"/>
  <c r="M48" i="3"/>
  <c r="L48" i="3"/>
  <c r="K48" i="3"/>
  <c r="J48" i="3"/>
  <c r="I48" i="3"/>
  <c r="H48" i="3"/>
  <c r="G48" i="3"/>
  <c r="F48" i="3"/>
  <c r="F35" i="8" l="1"/>
  <c r="E35" i="8" l="1"/>
  <c r="E33" i="8"/>
  <c r="C75" i="2" l="1"/>
  <c r="C73" i="2"/>
  <c r="C70" i="2"/>
  <c r="C68" i="2"/>
  <c r="C57" i="2"/>
  <c r="C55" i="2"/>
  <c r="C45" i="2"/>
  <c r="C44" i="2"/>
  <c r="C41" i="2"/>
  <c r="C39" i="2"/>
  <c r="C37" i="2"/>
  <c r="C35" i="2"/>
  <c r="C32" i="2"/>
  <c r="C29" i="2"/>
  <c r="C26" i="2"/>
  <c r="C18" i="2"/>
  <c r="C14" i="2"/>
  <c r="C10" i="2"/>
  <c r="C43" i="2" s="1"/>
  <c r="C77" i="2" s="1"/>
  <c r="D68" i="1"/>
  <c r="D61" i="1"/>
  <c r="D56" i="1"/>
  <c r="D55" i="1"/>
  <c r="A52" i="1"/>
  <c r="D50" i="1"/>
  <c r="A44" i="1"/>
  <c r="D31" i="1"/>
  <c r="A30" i="1"/>
  <c r="D25" i="1"/>
  <c r="D23" i="1"/>
  <c r="D21" i="1"/>
  <c r="D17" i="1"/>
  <c r="D14" i="1"/>
  <c r="D13" i="1"/>
  <c r="D67" i="1" s="1"/>
  <c r="D73" i="1" s="1"/>
  <c r="F110" i="20"/>
  <c r="F138" i="14"/>
  <c r="D138" i="20" l="1"/>
  <c r="H119" i="14"/>
  <c r="F119" i="14" s="1"/>
  <c r="C138" i="20"/>
  <c r="E126" i="20"/>
  <c r="E138" i="14"/>
  <c r="G72" i="14" l="1"/>
  <c r="J137" i="14"/>
  <c r="I137" i="14"/>
  <c r="I38" i="14"/>
  <c r="G157" i="20"/>
  <c r="H174" i="20"/>
  <c r="G174" i="20"/>
  <c r="G92" i="14" l="1"/>
  <c r="E97" i="14"/>
  <c r="G20" i="14"/>
  <c r="C225" i="20"/>
  <c r="E220" i="20"/>
  <c r="E20" i="20"/>
  <c r="F18" i="20" l="1"/>
  <c r="H18" i="14"/>
  <c r="E110" i="8" l="1"/>
  <c r="E91" i="8"/>
  <c r="E90" i="8"/>
  <c r="E21" i="8"/>
  <c r="G107" i="14" l="1"/>
  <c r="G64" i="14"/>
  <c r="G42" i="14"/>
  <c r="I52" i="14"/>
  <c r="I61" i="14"/>
  <c r="I30" i="14"/>
  <c r="I20" i="14"/>
  <c r="E65" i="20"/>
  <c r="E195" i="20"/>
  <c r="E161" i="20"/>
  <c r="G171" i="20"/>
  <c r="G150" i="20"/>
  <c r="G31" i="20"/>
  <c r="G20" i="20"/>
  <c r="J181" i="14" l="1"/>
  <c r="G148" i="14" l="1"/>
  <c r="G147" i="14"/>
  <c r="G146" i="14"/>
  <c r="G145" i="14"/>
  <c r="G144" i="14"/>
  <c r="G143" i="14"/>
  <c r="G142" i="14"/>
  <c r="G141" i="14"/>
  <c r="G140" i="14"/>
  <c r="G139" i="14"/>
  <c r="E183" i="20"/>
  <c r="A103" i="8" l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E57" i="20" l="1"/>
  <c r="D99" i="20"/>
  <c r="C99" i="20"/>
  <c r="E177" i="14" l="1"/>
  <c r="I76" i="14"/>
  <c r="F177" i="14"/>
  <c r="G98" i="14"/>
  <c r="E118" i="14"/>
  <c r="F92" i="8"/>
  <c r="E92" i="8"/>
  <c r="F86" i="8"/>
  <c r="E111" i="8" l="1"/>
  <c r="G110" i="20"/>
  <c r="C70" i="20" l="1"/>
  <c r="D22" i="20"/>
  <c r="C22" i="20"/>
  <c r="E117" i="14"/>
  <c r="E53" i="14"/>
  <c r="E27" i="14"/>
  <c r="C20" i="20" l="1"/>
  <c r="M19" i="20"/>
  <c r="M16" i="20" s="1"/>
  <c r="M232" i="20" s="1"/>
  <c r="C25" i="20"/>
  <c r="P149" i="14"/>
  <c r="O19" i="14"/>
  <c r="O149" i="14" s="1"/>
  <c r="O182" i="14" s="1"/>
  <c r="G193" i="20" l="1"/>
  <c r="E118" i="20"/>
  <c r="G226" i="20"/>
  <c r="C129" i="20"/>
  <c r="C130" i="20"/>
  <c r="C131" i="20"/>
  <c r="E128" i="20"/>
  <c r="C128" i="20" s="1"/>
  <c r="G57" i="20"/>
  <c r="H57" i="20"/>
  <c r="H56" i="20" s="1"/>
  <c r="C21" i="20"/>
  <c r="F17" i="20"/>
  <c r="E17" i="20"/>
  <c r="E127" i="20" l="1"/>
  <c r="C127" i="20" s="1"/>
  <c r="G62" i="14"/>
  <c r="E86" i="14"/>
  <c r="E87" i="14"/>
  <c r="E88" i="14"/>
  <c r="G85" i="14"/>
  <c r="E85" i="14" s="1"/>
  <c r="G119" i="14"/>
  <c r="J98" i="14"/>
  <c r="K98" i="14"/>
  <c r="L98" i="14"/>
  <c r="I98" i="14"/>
  <c r="H17" i="14"/>
  <c r="G17" i="14"/>
  <c r="F23" i="14"/>
  <c r="E23" i="14"/>
  <c r="G149" i="20" l="1"/>
  <c r="C172" i="20"/>
  <c r="E42" i="20"/>
  <c r="C44" i="20"/>
  <c r="G89" i="14"/>
  <c r="E91" i="14"/>
  <c r="I29" i="14"/>
  <c r="E104" i="8" l="1"/>
  <c r="E89" i="8"/>
  <c r="E86" i="8"/>
  <c r="A81" i="8"/>
  <c r="F78" i="8"/>
  <c r="E78" i="8"/>
  <c r="F75" i="8"/>
  <c r="E75" i="8"/>
  <c r="F51" i="8"/>
  <c r="E51" i="8"/>
  <c r="E38" i="8"/>
  <c r="F36" i="8"/>
  <c r="E36" i="8"/>
  <c r="F32" i="8"/>
  <c r="E32" i="8"/>
  <c r="F28" i="8"/>
  <c r="E28" i="8"/>
  <c r="F22" i="8"/>
  <c r="E22" i="8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F64" i="8" l="1"/>
  <c r="E114" i="8"/>
  <c r="E64" i="8"/>
  <c r="F114" i="8"/>
  <c r="E115" i="8" l="1"/>
  <c r="F115" i="8"/>
  <c r="C224" i="20"/>
  <c r="G220" i="20"/>
  <c r="C171" i="20"/>
  <c r="C41" i="20"/>
  <c r="E40" i="20"/>
  <c r="C40" i="20" s="1"/>
  <c r="H181" i="14" l="1"/>
  <c r="I181" i="14"/>
  <c r="K181" i="14"/>
  <c r="L181" i="14"/>
  <c r="M181" i="14"/>
  <c r="N181" i="14"/>
  <c r="I92" i="14"/>
  <c r="E96" i="14"/>
  <c r="E52" i="14"/>
  <c r="D154" i="20" l="1"/>
  <c r="H149" i="20" l="1"/>
  <c r="F34" i="14"/>
  <c r="J29" i="14"/>
  <c r="F29" i="14" s="1"/>
  <c r="D149" i="20" l="1"/>
  <c r="C195" i="20"/>
  <c r="E64" i="14"/>
  <c r="E19" i="20" l="1"/>
  <c r="C19" i="14" l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C71" i="14" s="1"/>
  <c r="C72" i="14" s="1"/>
  <c r="C73" i="14" s="1"/>
  <c r="C74" i="14" s="1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7" i="14" s="1"/>
  <c r="C88" i="14" s="1"/>
  <c r="C89" i="14" s="1"/>
  <c r="C90" i="14" s="1"/>
  <c r="C91" i="14" s="1"/>
  <c r="C92" i="14" s="1"/>
  <c r="C93" i="14" s="1"/>
  <c r="C94" i="14" s="1"/>
  <c r="C95" i="14" s="1"/>
  <c r="C96" i="14" s="1"/>
  <c r="C97" i="14" s="1"/>
  <c r="C98" i="14" s="1"/>
  <c r="C99" i="14" s="1"/>
  <c r="C100" i="14" s="1"/>
  <c r="C101" i="14" s="1"/>
  <c r="C102" i="14" s="1"/>
  <c r="C103" i="14" s="1"/>
  <c r="C104" i="14" s="1"/>
  <c r="C105" i="14" s="1"/>
  <c r="C106" i="14" s="1"/>
  <c r="C107" i="14" s="1"/>
  <c r="C108" i="14" s="1"/>
  <c r="C109" i="14" s="1"/>
  <c r="C110" i="14" s="1"/>
  <c r="C111" i="14" s="1"/>
  <c r="C112" i="14" s="1"/>
  <c r="C113" i="14" s="1"/>
  <c r="C114" i="14" s="1"/>
  <c r="C115" i="14" s="1"/>
  <c r="C116" i="14" s="1"/>
  <c r="C117" i="14" s="1"/>
  <c r="C118" i="14" s="1"/>
  <c r="C119" i="14" s="1"/>
  <c r="C120" i="14" s="1"/>
  <c r="C121" i="14" s="1"/>
  <c r="C122" i="14" s="1"/>
  <c r="C123" i="14" s="1"/>
  <c r="C124" i="14" s="1"/>
  <c r="C125" i="14" s="1"/>
  <c r="C126" i="14" s="1"/>
  <c r="C127" i="14" s="1"/>
  <c r="C128" i="14" s="1"/>
  <c r="C129" i="14" s="1"/>
  <c r="C130" i="14" s="1"/>
  <c r="C131" i="14" s="1"/>
  <c r="C132" i="14" s="1"/>
  <c r="C133" i="14" s="1"/>
  <c r="C134" i="14" s="1"/>
  <c r="C135" i="14" s="1"/>
  <c r="C136" i="14" s="1"/>
  <c r="C137" i="14" s="1"/>
  <c r="C138" i="14" s="1"/>
  <c r="C139" i="14" s="1"/>
  <c r="C140" i="14" s="1"/>
  <c r="C141" i="14" s="1"/>
  <c r="C142" i="14" s="1"/>
  <c r="C143" i="14" s="1"/>
  <c r="C144" i="14" s="1"/>
  <c r="C145" i="14" s="1"/>
  <c r="C146" i="14" s="1"/>
  <c r="C147" i="14" s="1"/>
  <c r="C148" i="14" s="1"/>
  <c r="C149" i="14" s="1"/>
  <c r="C150" i="14" s="1"/>
  <c r="C151" i="14" s="1"/>
  <c r="C152" i="14" s="1"/>
  <c r="C153" i="14" s="1"/>
  <c r="C154" i="14" s="1"/>
  <c r="C155" i="14" s="1"/>
  <c r="C156" i="14" s="1"/>
  <c r="C157" i="14" s="1"/>
  <c r="C158" i="14" s="1"/>
  <c r="C159" i="14" s="1"/>
  <c r="C160" i="14" s="1"/>
  <c r="C161" i="14" s="1"/>
  <c r="C162" i="14" s="1"/>
  <c r="C163" i="14" s="1"/>
  <c r="C164" i="14" s="1"/>
  <c r="C165" i="14" s="1"/>
  <c r="C166" i="14" s="1"/>
  <c r="C167" i="14" s="1"/>
  <c r="C168" i="14" s="1"/>
  <c r="C169" i="14" s="1"/>
  <c r="C170" i="14" s="1"/>
  <c r="C171" i="14" s="1"/>
  <c r="C172" i="14" s="1"/>
  <c r="C173" i="14" s="1"/>
  <c r="C174" i="14" s="1"/>
  <c r="C175" i="14" s="1"/>
  <c r="C176" i="14" s="1"/>
  <c r="C177" i="14" s="1"/>
  <c r="C178" i="14" s="1"/>
  <c r="C179" i="14" s="1"/>
  <c r="C180" i="14" s="1"/>
  <c r="C181" i="14" s="1"/>
  <c r="C182" i="14" s="1"/>
  <c r="A17" i="20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G19" i="14" l="1"/>
  <c r="F148" i="20"/>
  <c r="K148" i="20"/>
  <c r="L148" i="20"/>
  <c r="E149" i="20"/>
  <c r="C170" i="20"/>
  <c r="E45" i="20"/>
  <c r="C104" i="20"/>
  <c r="G129" i="14"/>
  <c r="G29" i="14"/>
  <c r="E51" i="14"/>
  <c r="G83" i="14"/>
  <c r="G76" i="14" s="1"/>
  <c r="C197" i="20"/>
  <c r="C166" i="20"/>
  <c r="C165" i="20"/>
  <c r="C164" i="20"/>
  <c r="H185" i="20"/>
  <c r="H148" i="20" s="1"/>
  <c r="G185" i="20"/>
  <c r="E230" i="20"/>
  <c r="E45" i="14"/>
  <c r="E46" i="14"/>
  <c r="E47" i="14"/>
  <c r="E66" i="14" l="1"/>
  <c r="C223" i="20" l="1"/>
  <c r="C200" i="20"/>
  <c r="C196" i="20"/>
  <c r="C188" i="20"/>
  <c r="D173" i="20"/>
  <c r="C169" i="20"/>
  <c r="C168" i="20"/>
  <c r="C163" i="20"/>
  <c r="C24" i="20"/>
  <c r="E25" i="14" l="1"/>
  <c r="N149" i="14" l="1"/>
  <c r="E95" i="14"/>
  <c r="E50" i="14"/>
  <c r="E49" i="14"/>
  <c r="D17" i="20" l="1"/>
  <c r="C18" i="20"/>
  <c r="D18" i="20"/>
  <c r="F19" i="20"/>
  <c r="G19" i="20"/>
  <c r="C19" i="20" s="1"/>
  <c r="H19" i="20"/>
  <c r="H16" i="20" s="1"/>
  <c r="H232" i="20" s="1"/>
  <c r="D20" i="20"/>
  <c r="D19" i="20" s="1"/>
  <c r="C23" i="20"/>
  <c r="C26" i="20"/>
  <c r="D26" i="20"/>
  <c r="G27" i="20"/>
  <c r="C27" i="20" s="1"/>
  <c r="C28" i="20"/>
  <c r="E29" i="20"/>
  <c r="G29" i="20"/>
  <c r="K29" i="20"/>
  <c r="K16" i="20" s="1"/>
  <c r="C30" i="20"/>
  <c r="C31" i="20"/>
  <c r="C32" i="20"/>
  <c r="E33" i="20"/>
  <c r="C33" i="20" s="1"/>
  <c r="C34" i="20"/>
  <c r="C35" i="20"/>
  <c r="C36" i="20"/>
  <c r="E37" i="20"/>
  <c r="C37" i="20" s="1"/>
  <c r="C38" i="20"/>
  <c r="C39" i="20"/>
  <c r="C42" i="20"/>
  <c r="C43" i="20"/>
  <c r="C45" i="20"/>
  <c r="D45" i="20"/>
  <c r="C46" i="20"/>
  <c r="C47" i="20"/>
  <c r="C48" i="20"/>
  <c r="C49" i="20"/>
  <c r="C50" i="20"/>
  <c r="C51" i="20"/>
  <c r="C52" i="20"/>
  <c r="C53" i="20"/>
  <c r="C54" i="20"/>
  <c r="C55" i="20"/>
  <c r="F56" i="20"/>
  <c r="K56" i="20"/>
  <c r="L56" i="20"/>
  <c r="E56" i="20"/>
  <c r="G56" i="20"/>
  <c r="I57" i="20"/>
  <c r="I56" i="20" s="1"/>
  <c r="I232" i="20" s="1"/>
  <c r="J57" i="20"/>
  <c r="J56" i="20" s="1"/>
  <c r="J232" i="20" s="1"/>
  <c r="C58" i="20"/>
  <c r="D58" i="20"/>
  <c r="C59" i="20"/>
  <c r="D59" i="20"/>
  <c r="C60" i="20"/>
  <c r="C61" i="20"/>
  <c r="C62" i="20"/>
  <c r="C63" i="20"/>
  <c r="C64" i="20"/>
  <c r="C65" i="20"/>
  <c r="C66" i="20"/>
  <c r="C67" i="20"/>
  <c r="C68" i="20"/>
  <c r="C69" i="20"/>
  <c r="C72" i="20"/>
  <c r="D72" i="20"/>
  <c r="C73" i="20"/>
  <c r="D73" i="20"/>
  <c r="C74" i="20"/>
  <c r="D74" i="20"/>
  <c r="C75" i="20"/>
  <c r="D75" i="20"/>
  <c r="C76" i="20"/>
  <c r="D76" i="20"/>
  <c r="C77" i="20"/>
  <c r="D77" i="20"/>
  <c r="C78" i="20"/>
  <c r="D78" i="20"/>
  <c r="C79" i="20"/>
  <c r="D79" i="20"/>
  <c r="C80" i="20"/>
  <c r="D80" i="20"/>
  <c r="C81" i="20"/>
  <c r="D81" i="20"/>
  <c r="C82" i="20"/>
  <c r="D82" i="20"/>
  <c r="C83" i="20"/>
  <c r="D83" i="20"/>
  <c r="C84" i="20"/>
  <c r="D84" i="20"/>
  <c r="C85" i="20"/>
  <c r="D85" i="20"/>
  <c r="C86" i="20"/>
  <c r="D86" i="20"/>
  <c r="C87" i="20"/>
  <c r="D87" i="20"/>
  <c r="C88" i="20"/>
  <c r="D88" i="20"/>
  <c r="C89" i="20"/>
  <c r="D89" i="20"/>
  <c r="C90" i="20"/>
  <c r="D90" i="20"/>
  <c r="C91" i="20"/>
  <c r="D91" i="20"/>
  <c r="C92" i="20"/>
  <c r="D92" i="20"/>
  <c r="C93" i="20"/>
  <c r="D93" i="20"/>
  <c r="C94" i="20"/>
  <c r="D94" i="20"/>
  <c r="C95" i="20"/>
  <c r="D95" i="20"/>
  <c r="C96" i="20"/>
  <c r="D96" i="20"/>
  <c r="C97" i="20"/>
  <c r="D97" i="20"/>
  <c r="C98" i="20"/>
  <c r="D98" i="20"/>
  <c r="C100" i="20"/>
  <c r="D100" i="20"/>
  <c r="C101" i="20"/>
  <c r="D101" i="20"/>
  <c r="C102" i="20"/>
  <c r="D102" i="20"/>
  <c r="C103" i="20"/>
  <c r="D103" i="20"/>
  <c r="C105" i="20"/>
  <c r="C106" i="20"/>
  <c r="C107" i="20"/>
  <c r="C108" i="20"/>
  <c r="C109" i="20"/>
  <c r="K110" i="20"/>
  <c r="L110" i="20"/>
  <c r="E111" i="20"/>
  <c r="E110" i="20" s="1"/>
  <c r="C112" i="20"/>
  <c r="C113" i="20"/>
  <c r="C114" i="20"/>
  <c r="C115" i="20"/>
  <c r="C116" i="20"/>
  <c r="C117" i="20"/>
  <c r="C118" i="20"/>
  <c r="C119" i="20"/>
  <c r="C120" i="20"/>
  <c r="C121" i="20"/>
  <c r="C122" i="20"/>
  <c r="C123" i="20"/>
  <c r="C124" i="20"/>
  <c r="C125" i="20"/>
  <c r="C126" i="20"/>
  <c r="C132" i="20"/>
  <c r="D132" i="20"/>
  <c r="C133" i="20"/>
  <c r="D133" i="20"/>
  <c r="C134" i="20"/>
  <c r="D134" i="20"/>
  <c r="C135" i="20"/>
  <c r="C136" i="20"/>
  <c r="D136" i="20"/>
  <c r="C137" i="20"/>
  <c r="D137" i="20"/>
  <c r="C139" i="20"/>
  <c r="C140" i="20"/>
  <c r="C141" i="20"/>
  <c r="C142" i="20"/>
  <c r="C143" i="20"/>
  <c r="C144" i="20"/>
  <c r="C145" i="20"/>
  <c r="C146" i="20"/>
  <c r="D146" i="20"/>
  <c r="C147" i="20"/>
  <c r="D147" i="20"/>
  <c r="G148" i="20"/>
  <c r="C150" i="20"/>
  <c r="C151" i="20"/>
  <c r="C152" i="20"/>
  <c r="C153" i="20"/>
  <c r="C154" i="20"/>
  <c r="C155" i="20"/>
  <c r="C156" i="20"/>
  <c r="C157" i="20"/>
  <c r="C158" i="20"/>
  <c r="C159" i="20"/>
  <c r="C160" i="20"/>
  <c r="C161" i="20"/>
  <c r="C162" i="20"/>
  <c r="C167" i="20"/>
  <c r="C173" i="20"/>
  <c r="C174" i="20"/>
  <c r="D174" i="20"/>
  <c r="C175" i="20"/>
  <c r="C176" i="20"/>
  <c r="C177" i="20"/>
  <c r="C178" i="20"/>
  <c r="C179" i="20"/>
  <c r="C180" i="20"/>
  <c r="C181" i="20"/>
  <c r="C182" i="20"/>
  <c r="C183" i="20"/>
  <c r="C184" i="20"/>
  <c r="C185" i="20"/>
  <c r="D185" i="20"/>
  <c r="C186" i="20"/>
  <c r="D186" i="20"/>
  <c r="E187" i="20"/>
  <c r="E148" i="20" s="1"/>
  <c r="C189" i="20"/>
  <c r="C190" i="20"/>
  <c r="C191" i="20"/>
  <c r="D191" i="20"/>
  <c r="K192" i="20"/>
  <c r="E193" i="20"/>
  <c r="G192" i="20"/>
  <c r="C194" i="20"/>
  <c r="C198" i="20"/>
  <c r="C199" i="20"/>
  <c r="C201" i="20"/>
  <c r="C202" i="20"/>
  <c r="E203" i="20"/>
  <c r="C203" i="20" s="1"/>
  <c r="C204" i="20"/>
  <c r="C205" i="20"/>
  <c r="C206" i="20"/>
  <c r="C207" i="20"/>
  <c r="C208" i="20"/>
  <c r="C209" i="20"/>
  <c r="C210" i="20"/>
  <c r="C211" i="20"/>
  <c r="C212" i="20"/>
  <c r="C213" i="20"/>
  <c r="C214" i="20"/>
  <c r="C215" i="20"/>
  <c r="C216" i="20"/>
  <c r="E218" i="20"/>
  <c r="C219" i="20"/>
  <c r="G217" i="20"/>
  <c r="C221" i="20"/>
  <c r="C222" i="20"/>
  <c r="E226" i="20"/>
  <c r="C226" i="20" s="1"/>
  <c r="C227" i="20"/>
  <c r="C228" i="20"/>
  <c r="C229" i="20"/>
  <c r="C230" i="20"/>
  <c r="C231" i="20"/>
  <c r="L232" i="20" l="1"/>
  <c r="E16" i="20"/>
  <c r="C187" i="20"/>
  <c r="E217" i="20"/>
  <c r="C217" i="20" s="1"/>
  <c r="E192" i="20"/>
  <c r="C192" i="20" s="1"/>
  <c r="C111" i="20"/>
  <c r="C110" i="20"/>
  <c r="C193" i="20"/>
  <c r="C220" i="20"/>
  <c r="D110" i="20"/>
  <c r="K232" i="20"/>
  <c r="D56" i="20"/>
  <c r="G16" i="20"/>
  <c r="C29" i="20"/>
  <c r="D148" i="20"/>
  <c r="C56" i="20"/>
  <c r="C218" i="20"/>
  <c r="C149" i="20"/>
  <c r="D57" i="20"/>
  <c r="C17" i="20"/>
  <c r="F16" i="20"/>
  <c r="C57" i="20"/>
  <c r="C16" i="20" l="1"/>
  <c r="G232" i="20"/>
  <c r="C148" i="20"/>
  <c r="F232" i="20"/>
  <c r="D16" i="20"/>
  <c r="D232" i="20" s="1"/>
  <c r="E232" i="20"/>
  <c r="C232" i="20" l="1"/>
  <c r="E26" i="14" l="1"/>
  <c r="E65" i="14" l="1"/>
  <c r="E61" i="14"/>
  <c r="E128" i="14" l="1"/>
  <c r="I54" i="14" l="1"/>
  <c r="G54" i="14"/>
  <c r="E127" i="14"/>
  <c r="E48" i="14" l="1"/>
  <c r="I62" i="14"/>
  <c r="E116" i="14"/>
  <c r="E115" i="14"/>
  <c r="E75" i="14"/>
  <c r="F160" i="14" l="1"/>
  <c r="E160" i="14"/>
  <c r="F159" i="14"/>
  <c r="E159" i="14"/>
  <c r="F137" i="14" l="1"/>
  <c r="F134" i="14"/>
  <c r="H19" i="14"/>
  <c r="E68" i="14"/>
  <c r="E119" i="14"/>
  <c r="E114" i="14"/>
  <c r="E113" i="14"/>
  <c r="E112" i="14"/>
  <c r="E90" i="14"/>
  <c r="E71" i="14"/>
  <c r="E137" i="14"/>
  <c r="E67" i="14"/>
  <c r="F165" i="14"/>
  <c r="E165" i="14"/>
  <c r="F175" i="14"/>
  <c r="E175" i="14"/>
  <c r="F169" i="14"/>
  <c r="E169" i="14"/>
  <c r="L149" i="14"/>
  <c r="L182" i="14" s="1"/>
  <c r="K149" i="14"/>
  <c r="K182" i="14" s="1"/>
  <c r="G181" i="14"/>
  <c r="E37" i="14"/>
  <c r="I19" i="14"/>
  <c r="E124" i="14"/>
  <c r="E111" i="14"/>
  <c r="E109" i="14"/>
  <c r="E108" i="14"/>
  <c r="E107" i="14"/>
  <c r="E81" i="14"/>
  <c r="E120" i="14"/>
  <c r="E121" i="14"/>
  <c r="E122" i="14"/>
  <c r="E123" i="14"/>
  <c r="E125" i="14"/>
  <c r="E126" i="14"/>
  <c r="M54" i="14"/>
  <c r="M149" i="14" s="1"/>
  <c r="E44" i="14"/>
  <c r="E72" i="14"/>
  <c r="F136" i="14"/>
  <c r="E136" i="14"/>
  <c r="E106" i="14"/>
  <c r="E59" i="14"/>
  <c r="E43" i="14"/>
  <c r="E42" i="14"/>
  <c r="E63" i="14"/>
  <c r="F102" i="14"/>
  <c r="E83" i="14"/>
  <c r="E82" i="14"/>
  <c r="E41" i="14"/>
  <c r="G67" i="15"/>
  <c r="G72" i="15"/>
  <c r="F79" i="15"/>
  <c r="F72" i="15"/>
  <c r="F67" i="15"/>
  <c r="S89" i="15"/>
  <c r="G207" i="15"/>
  <c r="C207" i="15" s="1"/>
  <c r="D207" i="15"/>
  <c r="H206" i="15"/>
  <c r="G206" i="15"/>
  <c r="C206" i="15" s="1"/>
  <c r="G205" i="15"/>
  <c r="C205" i="15" s="1"/>
  <c r="D205" i="15"/>
  <c r="G204" i="15"/>
  <c r="C204" i="15" s="1"/>
  <c r="D204" i="15"/>
  <c r="A204" i="15"/>
  <c r="A205" i="15"/>
  <c r="H203" i="15"/>
  <c r="G203" i="15"/>
  <c r="C203" i="15" s="1"/>
  <c r="G202" i="15"/>
  <c r="G200" i="15" s="1"/>
  <c r="D202" i="15"/>
  <c r="K201" i="15"/>
  <c r="C201" i="15" s="1"/>
  <c r="D201" i="15"/>
  <c r="L200" i="15"/>
  <c r="K200" i="15"/>
  <c r="H200" i="15"/>
  <c r="G199" i="15"/>
  <c r="G198" i="15" s="1"/>
  <c r="C198" i="15" s="1"/>
  <c r="D199" i="15"/>
  <c r="A199" i="15"/>
  <c r="A200" i="15"/>
  <c r="A201" i="15" s="1"/>
  <c r="A202" i="15" s="1"/>
  <c r="H198" i="15"/>
  <c r="L197" i="15"/>
  <c r="S196" i="15"/>
  <c r="G196" i="15"/>
  <c r="C196" i="15" s="1"/>
  <c r="E196" i="15"/>
  <c r="D196" i="15"/>
  <c r="G195" i="15"/>
  <c r="C195" i="15" s="1"/>
  <c r="E195" i="15"/>
  <c r="D195" i="15"/>
  <c r="G194" i="15"/>
  <c r="C194" i="15" s="1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G189" i="15"/>
  <c r="C189" i="15" s="1"/>
  <c r="E189" i="15"/>
  <c r="D189" i="15"/>
  <c r="G188" i="15"/>
  <c r="C188" i="15" s="1"/>
  <c r="E188" i="15"/>
  <c r="D188" i="15"/>
  <c r="A188" i="15"/>
  <c r="A189" i="15" s="1"/>
  <c r="A190" i="15"/>
  <c r="A191" i="15" s="1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 s="1"/>
  <c r="D186" i="15"/>
  <c r="A186" i="15"/>
  <c r="H185" i="15"/>
  <c r="D185" i="15" s="1"/>
  <c r="G184" i="15"/>
  <c r="C184" i="15" s="1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 s="1"/>
  <c r="D180" i="15"/>
  <c r="A180" i="15"/>
  <c r="A181" i="15" s="1"/>
  <c r="G179" i="15"/>
  <c r="C179" i="15" s="1"/>
  <c r="F179" i="15"/>
  <c r="K178" i="15"/>
  <c r="C178" i="15" s="1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E174" i="15"/>
  <c r="D174" i="15"/>
  <c r="A174" i="15"/>
  <c r="A175" i="15" s="1"/>
  <c r="A176" i="15" s="1"/>
  <c r="A177" i="15" s="1"/>
  <c r="A178" i="15" s="1"/>
  <c r="S173" i="15"/>
  <c r="K173" i="15"/>
  <c r="C173" i="15" s="1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 s="1"/>
  <c r="D155" i="15"/>
  <c r="G154" i="15"/>
  <c r="C154" i="15"/>
  <c r="F154" i="15"/>
  <c r="G153" i="15"/>
  <c r="C153" i="15" s="1"/>
  <c r="F153" i="15"/>
  <c r="K152" i="15"/>
  <c r="C152" i="15" s="1"/>
  <c r="E152" i="15"/>
  <c r="D152" i="15"/>
  <c r="G151" i="15"/>
  <c r="C151" i="15" s="1"/>
  <c r="D151" i="15"/>
  <c r="G150" i="15"/>
  <c r="C150" i="15"/>
  <c r="D150" i="15"/>
  <c r="K149" i="15"/>
  <c r="K148" i="15"/>
  <c r="C148" i="15"/>
  <c r="D148" i="15"/>
  <c r="K147" i="15"/>
  <c r="C147" i="15" s="1"/>
  <c r="D147" i="15"/>
  <c r="A147" i="15"/>
  <c r="A148" i="15" s="1"/>
  <c r="G146" i="15"/>
  <c r="C146" i="15" s="1"/>
  <c r="D146" i="15"/>
  <c r="G145" i="15"/>
  <c r="C145" i="15"/>
  <c r="D145" i="15"/>
  <c r="G144" i="15"/>
  <c r="C144" i="15" s="1"/>
  <c r="D144" i="15"/>
  <c r="G143" i="15"/>
  <c r="D143" i="15"/>
  <c r="G142" i="15"/>
  <c r="C142" i="15" s="1"/>
  <c r="D142" i="15"/>
  <c r="M141" i="15"/>
  <c r="M140" i="15"/>
  <c r="L141" i="15"/>
  <c r="J141" i="15"/>
  <c r="F141" i="15" s="1"/>
  <c r="H141" i="15"/>
  <c r="A141" i="15"/>
  <c r="A142" i="15" s="1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 s="1"/>
  <c r="D132" i="15"/>
  <c r="S131" i="15"/>
  <c r="G131" i="15"/>
  <c r="C131" i="15" s="1"/>
  <c r="E131" i="15"/>
  <c r="D131" i="15"/>
  <c r="G130" i="15"/>
  <c r="C130" i="15"/>
  <c r="D130" i="15"/>
  <c r="G129" i="15"/>
  <c r="C129" i="15" s="1"/>
  <c r="E129" i="15"/>
  <c r="D129" i="15"/>
  <c r="S128" i="15"/>
  <c r="G128" i="15"/>
  <c r="E128" i="15"/>
  <c r="D128" i="15"/>
  <c r="S127" i="15"/>
  <c r="G127" i="15"/>
  <c r="E127" i="15"/>
  <c r="D127" i="15"/>
  <c r="G126" i="15"/>
  <c r="C126" i="15" s="1"/>
  <c r="E126" i="15"/>
  <c r="D126" i="15"/>
  <c r="S125" i="15"/>
  <c r="G125" i="15"/>
  <c r="C125" i="15"/>
  <c r="E125" i="15"/>
  <c r="D125" i="15"/>
  <c r="S124" i="15"/>
  <c r="G124" i="15"/>
  <c r="C124" i="15" s="1"/>
  <c r="E124" i="15"/>
  <c r="D124" i="15"/>
  <c r="A124" i="15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E123" i="15"/>
  <c r="D123" i="15"/>
  <c r="S122" i="15"/>
  <c r="G122" i="15"/>
  <c r="E122" i="15"/>
  <c r="D122" i="15"/>
  <c r="G121" i="15"/>
  <c r="C121" i="15" s="1"/>
  <c r="D121" i="15"/>
  <c r="G120" i="15"/>
  <c r="C120" i="15" s="1"/>
  <c r="D120" i="15"/>
  <c r="G119" i="15"/>
  <c r="D119" i="15"/>
  <c r="C119" i="15"/>
  <c r="G118" i="15"/>
  <c r="D118" i="15"/>
  <c r="C118" i="15"/>
  <c r="S117" i="15"/>
  <c r="G117" i="15"/>
  <c r="C117" i="15" s="1"/>
  <c r="E117" i="15"/>
  <c r="D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F111" i="15"/>
  <c r="E111" i="15"/>
  <c r="D111" i="15"/>
  <c r="G110" i="15"/>
  <c r="D110" i="15"/>
  <c r="C110" i="15"/>
  <c r="G109" i="15"/>
  <c r="C109" i="15" s="1"/>
  <c r="D109" i="15"/>
  <c r="G108" i="15"/>
  <c r="C108" i="15" s="1"/>
  <c r="D108" i="15"/>
  <c r="G107" i="15"/>
  <c r="C107" i="15"/>
  <c r="D107" i="15"/>
  <c r="G106" i="15"/>
  <c r="D106" i="15"/>
  <c r="C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V99" i="15"/>
  <c r="F99" i="15" s="1"/>
  <c r="U99" i="15"/>
  <c r="T99" i="15"/>
  <c r="I99" i="15"/>
  <c r="G98" i="15"/>
  <c r="C98" i="15" s="1"/>
  <c r="D98" i="15"/>
  <c r="A98" i="15"/>
  <c r="A99" i="15" s="1"/>
  <c r="A100" i="15" s="1"/>
  <c r="A101" i="15" s="1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C88" i="15" s="1"/>
  <c r="E88" i="15"/>
  <c r="D88" i="15"/>
  <c r="S87" i="15"/>
  <c r="O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G82" i="15"/>
  <c r="E82" i="15"/>
  <c r="D82" i="15"/>
  <c r="S81" i="15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 s="1"/>
  <c r="A75" i="15" s="1"/>
  <c r="A76" i="15" s="1"/>
  <c r="A77" i="15" s="1"/>
  <c r="S72" i="15"/>
  <c r="O72" i="15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G69" i="15"/>
  <c r="E69" i="15"/>
  <c r="D69" i="15"/>
  <c r="O68" i="15"/>
  <c r="K68" i="15"/>
  <c r="C68" i="15" s="1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E64" i="15"/>
  <c r="D64" i="15"/>
  <c r="A64" i="15"/>
  <c r="A65" i="15" s="1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 s="1"/>
  <c r="A59" i="15" s="1"/>
  <c r="A60" i="15" s="1"/>
  <c r="A61" i="15" s="1"/>
  <c r="A62" i="15" s="1"/>
  <c r="S55" i="15"/>
  <c r="O55" i="15"/>
  <c r="G55" i="15"/>
  <c r="C55" i="15" s="1"/>
  <c r="E55" i="15"/>
  <c r="D55" i="15"/>
  <c r="G54" i="15"/>
  <c r="C54" i="15" s="1"/>
  <c r="D54" i="15"/>
  <c r="G53" i="15"/>
  <c r="C53" i="15"/>
  <c r="E53" i="15"/>
  <c r="D53" i="15"/>
  <c r="O52" i="15"/>
  <c r="G52" i="15"/>
  <c r="C52" i="15" s="1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 s="1"/>
  <c r="O45" i="15"/>
  <c r="L45" i="15"/>
  <c r="L44" i="15"/>
  <c r="I45" i="15"/>
  <c r="H45" i="15"/>
  <c r="A45" i="15"/>
  <c r="V44" i="15"/>
  <c r="V208" i="15" s="1"/>
  <c r="U44" i="15"/>
  <c r="T44" i="15"/>
  <c r="M44" i="15"/>
  <c r="J44" i="15"/>
  <c r="F44" i="15" s="1"/>
  <c r="I44" i="15"/>
  <c r="S43" i="15"/>
  <c r="K43" i="15"/>
  <c r="G43" i="15"/>
  <c r="C43" i="15" s="1"/>
  <c r="E43" i="15"/>
  <c r="D43" i="15"/>
  <c r="S42" i="15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G40" i="15"/>
  <c r="E40" i="15"/>
  <c r="D40" i="15"/>
  <c r="S39" i="15"/>
  <c r="K39" i="15"/>
  <c r="G39" i="15"/>
  <c r="E39" i="15"/>
  <c r="D39" i="15"/>
  <c r="S38" i="15"/>
  <c r="K38" i="15"/>
  <c r="G38" i="15"/>
  <c r="E38" i="15"/>
  <c r="D38" i="15"/>
  <c r="S37" i="15"/>
  <c r="K37" i="15"/>
  <c r="G37" i="15"/>
  <c r="C37" i="15" s="1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 s="1"/>
  <c r="A37" i="15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 s="1"/>
  <c r="C28" i="15" s="1"/>
  <c r="D29" i="15"/>
  <c r="H28" i="15"/>
  <c r="D28" i="15" s="1"/>
  <c r="A28" i="15"/>
  <c r="A29" i="15" s="1"/>
  <c r="A30" i="15" s="1"/>
  <c r="A31" i="15" s="1"/>
  <c r="A32" i="15" s="1"/>
  <c r="G27" i="15"/>
  <c r="D27" i="15"/>
  <c r="C27" i="15"/>
  <c r="G26" i="15"/>
  <c r="D26" i="15"/>
  <c r="C26" i="15"/>
  <c r="H25" i="15"/>
  <c r="D25" i="15" s="1"/>
  <c r="G24" i="15"/>
  <c r="C24" i="15" s="1"/>
  <c r="E24" i="15"/>
  <c r="D24" i="15"/>
  <c r="I23" i="15"/>
  <c r="E23" i="15" s="1"/>
  <c r="H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 s="1"/>
  <c r="D15" i="15"/>
  <c r="K14" i="15"/>
  <c r="K13" i="15"/>
  <c r="G14" i="15"/>
  <c r="C14" i="15" s="1"/>
  <c r="F14" i="15"/>
  <c r="F13" i="15" s="1"/>
  <c r="E14" i="15"/>
  <c r="E13" i="15"/>
  <c r="D14" i="15"/>
  <c r="A14" i="15"/>
  <c r="M13" i="15"/>
  <c r="M9" i="15" s="1"/>
  <c r="M208" i="15" s="1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G10" i="15"/>
  <c r="C10" i="15" s="1"/>
  <c r="U9" i="15"/>
  <c r="T208" i="15"/>
  <c r="F180" i="14"/>
  <c r="E180" i="14"/>
  <c r="F179" i="14"/>
  <c r="E179" i="14"/>
  <c r="F178" i="14"/>
  <c r="E178" i="14"/>
  <c r="F176" i="14"/>
  <c r="E176" i="14"/>
  <c r="F174" i="14"/>
  <c r="E174" i="14"/>
  <c r="F173" i="14"/>
  <c r="E173" i="14"/>
  <c r="F172" i="14"/>
  <c r="E172" i="14"/>
  <c r="F171" i="14"/>
  <c r="E171" i="14"/>
  <c r="F170" i="14"/>
  <c r="E170" i="14"/>
  <c r="F168" i="14"/>
  <c r="E168" i="14"/>
  <c r="F167" i="14"/>
  <c r="E167" i="14"/>
  <c r="F166" i="14"/>
  <c r="E166" i="14"/>
  <c r="F164" i="14"/>
  <c r="E164" i="14"/>
  <c r="F163" i="14"/>
  <c r="E163" i="14"/>
  <c r="F162" i="14"/>
  <c r="E162" i="14"/>
  <c r="F161" i="14"/>
  <c r="E161" i="14"/>
  <c r="F158" i="14"/>
  <c r="E158" i="14"/>
  <c r="F157" i="14"/>
  <c r="E157" i="14"/>
  <c r="F156" i="14"/>
  <c r="E156" i="14"/>
  <c r="F155" i="14"/>
  <c r="E155" i="14"/>
  <c r="F154" i="14"/>
  <c r="E154" i="14"/>
  <c r="F153" i="14"/>
  <c r="E153" i="14"/>
  <c r="F152" i="14"/>
  <c r="E152" i="14"/>
  <c r="F151" i="14"/>
  <c r="E151" i="14"/>
  <c r="F150" i="14"/>
  <c r="E150" i="14"/>
  <c r="E148" i="14"/>
  <c r="E147" i="14"/>
  <c r="E146" i="14"/>
  <c r="E145" i="14"/>
  <c r="E142" i="14"/>
  <c r="E141" i="14"/>
  <c r="E140" i="14"/>
  <c r="E139" i="14"/>
  <c r="F135" i="14"/>
  <c r="E135" i="14"/>
  <c r="E134" i="14"/>
  <c r="F133" i="14"/>
  <c r="E133" i="14"/>
  <c r="F132" i="14"/>
  <c r="E132" i="14"/>
  <c r="F131" i="14"/>
  <c r="E131" i="14"/>
  <c r="F130" i="14"/>
  <c r="E130" i="14"/>
  <c r="F129" i="14"/>
  <c r="E129" i="14"/>
  <c r="E110" i="14"/>
  <c r="E105" i="14"/>
  <c r="E103" i="14"/>
  <c r="E102" i="14"/>
  <c r="F101" i="14"/>
  <c r="E101" i="14"/>
  <c r="E100" i="14"/>
  <c r="E99" i="14"/>
  <c r="E94" i="14"/>
  <c r="E93" i="14"/>
  <c r="E84" i="14"/>
  <c r="E80" i="14"/>
  <c r="E79" i="14"/>
  <c r="E78" i="14"/>
  <c r="E77" i="14"/>
  <c r="E74" i="14"/>
  <c r="E73" i="14"/>
  <c r="E70" i="14"/>
  <c r="E69" i="14"/>
  <c r="E60" i="14"/>
  <c r="E58" i="14"/>
  <c r="E57" i="14"/>
  <c r="E56" i="14"/>
  <c r="E55" i="14"/>
  <c r="E40" i="14"/>
  <c r="E39" i="14"/>
  <c r="E38" i="14"/>
  <c r="E36" i="14"/>
  <c r="E35" i="14"/>
  <c r="E34" i="14"/>
  <c r="E33" i="14"/>
  <c r="E32" i="14"/>
  <c r="E31" i="14"/>
  <c r="E30" i="14"/>
  <c r="F28" i="14"/>
  <c r="E28" i="14"/>
  <c r="F24" i="14"/>
  <c r="E24" i="14"/>
  <c r="E22" i="14"/>
  <c r="E21" i="14"/>
  <c r="J19" i="14"/>
  <c r="J149" i="14" s="1"/>
  <c r="F18" i="14"/>
  <c r="E18" i="14"/>
  <c r="E143" i="14"/>
  <c r="E144" i="14"/>
  <c r="E104" i="14"/>
  <c r="F177" i="15"/>
  <c r="C139" i="15"/>
  <c r="E99" i="15"/>
  <c r="C74" i="15"/>
  <c r="K45" i="15"/>
  <c r="K44" i="15" s="1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E140" i="15"/>
  <c r="H140" i="15"/>
  <c r="C127" i="15"/>
  <c r="D100" i="15"/>
  <c r="C57" i="15"/>
  <c r="C83" i="15"/>
  <c r="G45" i="15"/>
  <c r="C36" i="15"/>
  <c r="C34" i="15"/>
  <c r="H9" i="15"/>
  <c r="C29" i="15"/>
  <c r="C143" i="15"/>
  <c r="L9" i="15"/>
  <c r="K141" i="15"/>
  <c r="K140" i="15"/>
  <c r="H197" i="15"/>
  <c r="C20" i="15"/>
  <c r="C39" i="15"/>
  <c r="C199" i="15"/>
  <c r="J140" i="15"/>
  <c r="G197" i="15"/>
  <c r="G13" i="15"/>
  <c r="C13" i="15" s="1"/>
  <c r="S9" i="15"/>
  <c r="S175" i="15"/>
  <c r="K197" i="15"/>
  <c r="D197" i="15"/>
  <c r="F140" i="15"/>
  <c r="E20" i="14"/>
  <c r="E29" i="14"/>
  <c r="F20" i="14"/>
  <c r="D13" i="15" l="1"/>
  <c r="C33" i="15"/>
  <c r="C66" i="15"/>
  <c r="C76" i="15"/>
  <c r="C82" i="15"/>
  <c r="D99" i="15"/>
  <c r="G23" i="15"/>
  <c r="C23" i="15" s="1"/>
  <c r="D23" i="15"/>
  <c r="C77" i="15"/>
  <c r="C38" i="15"/>
  <c r="C40" i="15"/>
  <c r="C58" i="15"/>
  <c r="C65" i="15"/>
  <c r="C81" i="15"/>
  <c r="S140" i="15"/>
  <c r="G25" i="15"/>
  <c r="C25" i="15" s="1"/>
  <c r="C42" i="15"/>
  <c r="U208" i="15"/>
  <c r="E45" i="15"/>
  <c r="C60" i="15"/>
  <c r="C61" i="15"/>
  <c r="C64" i="15"/>
  <c r="C67" i="15"/>
  <c r="C69" i="15"/>
  <c r="C72" i="15"/>
  <c r="C78" i="15"/>
  <c r="C79" i="15"/>
  <c r="C85" i="15"/>
  <c r="C86" i="15"/>
  <c r="C87" i="15"/>
  <c r="C111" i="15"/>
  <c r="C122" i="15"/>
  <c r="C123" i="15"/>
  <c r="C128" i="15"/>
  <c r="D141" i="15"/>
  <c r="C174" i="15"/>
  <c r="H149" i="14"/>
  <c r="F149" i="14" s="1"/>
  <c r="G149" i="14"/>
  <c r="G182" i="14" s="1"/>
  <c r="I149" i="14"/>
  <c r="I182" i="14" s="1"/>
  <c r="E89" i="14"/>
  <c r="F17" i="14"/>
  <c r="E17" i="14"/>
  <c r="E54" i="14"/>
  <c r="M182" i="14"/>
  <c r="E92" i="14"/>
  <c r="E19" i="14"/>
  <c r="F98" i="14"/>
  <c r="E98" i="14"/>
  <c r="E76" i="14"/>
  <c r="E62" i="14"/>
  <c r="J182" i="14"/>
  <c r="F19" i="14"/>
  <c r="O44" i="15"/>
  <c r="O208" i="15" s="1"/>
  <c r="C105" i="15"/>
  <c r="G100" i="15"/>
  <c r="C134" i="15"/>
  <c r="G133" i="15"/>
  <c r="C133" i="15" s="1"/>
  <c r="D9" i="15"/>
  <c r="S44" i="15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N182" i="14"/>
  <c r="S208" i="15" l="1"/>
  <c r="C176" i="15"/>
  <c r="C175" i="15" s="1"/>
  <c r="H208" i="15"/>
  <c r="E182" i="14"/>
  <c r="F181" i="14"/>
  <c r="H182" i="14"/>
  <c r="F182" i="14" s="1"/>
  <c r="E149" i="14"/>
  <c r="D140" i="15"/>
  <c r="L208" i="15"/>
  <c r="D208" i="15" s="1"/>
  <c r="E181" i="14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</calcChain>
</file>

<file path=xl/sharedStrings.xml><?xml version="1.0" encoding="utf-8"?>
<sst xmlns="http://schemas.openxmlformats.org/spreadsheetml/2006/main" count="1194" uniqueCount="695">
  <si>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</si>
  <si>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</si>
  <si>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</si>
  <si>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</si>
  <si>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</si>
  <si>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</si>
  <si>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</si>
  <si>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</si>
  <si>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</si>
  <si>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</si>
  <si>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</si>
  <si>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</si>
  <si>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</si>
  <si>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</si>
  <si>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</si>
  <si>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</si>
  <si>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</si>
  <si>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</si>
  <si>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</si>
  <si>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</si>
  <si>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</si>
  <si>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</si>
  <si>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</si>
  <si>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</si>
  <si>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</si>
  <si>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</si>
  <si>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</si>
  <si>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</si>
  <si>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</si>
  <si>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</si>
  <si>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</si>
  <si>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</si>
  <si>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</si>
  <si>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</si>
  <si>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</si>
  <si>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</si>
  <si>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</si>
  <si>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</si>
  <si>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</si>
  <si>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</si>
  <si>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</si>
  <si>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</si>
  <si>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</si>
  <si>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</si>
  <si>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</si>
  <si>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</si>
  <si>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</si>
  <si>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</si>
  <si>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</si>
  <si>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</si>
  <si>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</si>
  <si>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</si>
  <si>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</si>
  <si>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</si>
  <si>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</si>
  <si>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Savivaldybės kitos išlaidos</t>
  </si>
  <si>
    <t>Darbo politikos formavimas ir įgyvendinimas</t>
  </si>
  <si>
    <t xml:space="preserve">Kontrolės ir audito tarnyba </t>
  </si>
  <si>
    <t>Socialinės paramos ir sveikatos skyrius iš viso</t>
  </si>
  <si>
    <t>Socialinė parama</t>
  </si>
  <si>
    <t>Slauga pagal socialines indikacijas</t>
  </si>
  <si>
    <t>Parapijos senelių namų finansavimas</t>
  </si>
  <si>
    <t>Būsto pritaikymas neįgaliesiems</t>
  </si>
  <si>
    <t>Socialinės paramos mokiniams administravimas</t>
  </si>
  <si>
    <t>Asmenų su sunkia negalia socialinė globa</t>
  </si>
  <si>
    <t>Kompensacijos už šildymą ir vandenį</t>
  </si>
  <si>
    <t>VšĮ Rokiškio PASPC moterų konsultacijos kabinetų įrangai</t>
  </si>
  <si>
    <t>Tarptautinis bendradarbiavimas</t>
  </si>
  <si>
    <t>Nevyriausybinių organizac. projektų finansavimas</t>
  </si>
  <si>
    <t>Nekilnojamo turto įregistravimas</t>
  </si>
  <si>
    <t>Nuostolingų maršrutų išlaidų kompensavimas</t>
  </si>
  <si>
    <t>Kompensacijos už liftų naudojimą</t>
  </si>
  <si>
    <t>Nekilnojamo turto nuomos specialioji programa</t>
  </si>
  <si>
    <t>Kapitalo investicijos ir ilgalaikio turto remontas</t>
  </si>
  <si>
    <t>Subsidijos gamintojams už šiluminę energiją</t>
  </si>
  <si>
    <t>Europos ir kitų fondų projektams dalinai finansuoti</t>
  </si>
  <si>
    <t>Investiciniams projektams, galimybių studijoms ir kitiems dokumentams rengti</t>
  </si>
  <si>
    <t>Smulkaus ir vidutinio verslo plėtros programa</t>
  </si>
  <si>
    <t>Architektūros ir  paveldosaugos skyrius  iš viso</t>
  </si>
  <si>
    <t>Laisvės kovų įamžinimo komisijos veikla</t>
  </si>
  <si>
    <t>Aplinkos apsaugos rėmimo specialioji programa</t>
  </si>
  <si>
    <t>Žemės ūkio skyrius iš viso</t>
  </si>
  <si>
    <t>Vaikų ir jaunimo socializacijos programa</t>
  </si>
  <si>
    <t>Nusikalstamų veikų prevencijos ir kontrolės progr.</t>
  </si>
  <si>
    <t>Neformaliojo vaikų švietimo programoms</t>
  </si>
  <si>
    <t>Suaugusiųjų neformalaus ugdymo programoms</t>
  </si>
  <si>
    <t>Maisto atliekų utilizavimui</t>
  </si>
  <si>
    <t>Mokinių pavėžėjimui tėvų (globėjų) nuosavu transportu</t>
  </si>
  <si>
    <t>Pedagoginė grupė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</si>
  <si>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</si>
  <si>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</si>
  <si>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</si>
  <si>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</si>
  <si>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</si>
  <si>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 xml:space="preserve">Pandėlio seniūnija                     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</si>
  <si>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</si>
  <si>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</si>
  <si>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</si>
  <si>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</si>
  <si>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</si>
  <si>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</si>
  <si>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</si>
  <si>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</si>
  <si>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</si>
  <si>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</si>
  <si>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</si>
  <si>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</si>
  <si>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</si>
  <si>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</si>
  <si>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</si>
  <si>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</si>
  <si>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</si>
  <si>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</si>
  <si>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</si>
  <si>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</si>
  <si>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</si>
  <si>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</si>
  <si>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</si>
  <si>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</si>
  <si>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</si>
  <si>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</si>
  <si>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</si>
  <si>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</si>
  <si>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</si>
  <si>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</si>
  <si>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</si>
  <si>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</si>
  <si>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</si>
  <si>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</si>
  <si>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</si>
  <si>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</si>
  <si>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</si>
  <si>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</si>
  <si>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</si>
  <si>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</si>
  <si>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</si>
  <si>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</si>
  <si>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</si>
  <si>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</si>
  <si>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</si>
  <si>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</si>
  <si>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</si>
  <si>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</si>
  <si>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</si>
  <si>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</si>
  <si>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</si>
  <si>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</si>
  <si>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</si>
  <si>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</si>
  <si>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</si>
  <si>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</si>
  <si>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</si>
  <si>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</si>
  <si>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</si>
  <si>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</si>
  <si>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</si>
  <si>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</si>
  <si>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</si>
  <si>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</si>
  <si>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</si>
  <si>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</si>
  <si>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</si>
  <si>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</si>
  <si>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</si>
  <si>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</si>
  <si>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</si>
  <si>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</si>
  <si>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</si>
  <si>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</si>
  <si>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</si>
  <si>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</si>
  <si>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</si>
  <si>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</si>
  <si>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</si>
  <si>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</si>
  <si>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</si>
  <si>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</si>
  <si>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</si>
  <si>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</si>
  <si>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</si>
  <si>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</si>
  <si>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</si>
  <si>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</si>
  <si>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</si>
  <si>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</si>
  <si>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</si>
  <si>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</si>
  <si>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</si>
  <si>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</si>
  <si>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</si>
  <si>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</si>
  <si>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</si>
  <si>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</si>
  <si>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</si>
  <si>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</si>
  <si>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</si>
  <si>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</si>
  <si>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</si>
  <si>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</si>
  <si>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</si>
  <si>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</si>
  <si>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</si>
  <si>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</si>
  <si>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</si>
  <si>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</si>
  <si>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</si>
  <si>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</si>
  <si>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</si>
  <si>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</si>
  <si>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</si>
  <si>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</si>
  <si>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</si>
  <si>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</si>
  <si>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</si>
  <si>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</si>
  <si>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</si>
  <si>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</si>
  <si>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Kelių  priežiūros programa</t>
  </si>
  <si>
    <t>Beglobių gyvūnų priežiūra</t>
  </si>
  <si>
    <t>PRACT už atliekų tvarkymą</t>
  </si>
  <si>
    <t>Kaimo programa</t>
  </si>
  <si>
    <t>Melioracijos programa</t>
  </si>
  <si>
    <t>Talentingų žmonių rėmimo programa</t>
  </si>
  <si>
    <t>Užimtumo didinimo programa</t>
  </si>
  <si>
    <t>Seniūnijų gatvių apšvietimo atnaujinimo programa</t>
  </si>
  <si>
    <t>Rajono reprezentacinių sporto renginių programa</t>
  </si>
  <si>
    <t>Mirusių asmenų palaikų ekspertiniams tyrimams nuvežimo išlaidoms</t>
  </si>
  <si>
    <t>Socialinių būstų remontui</t>
  </si>
  <si>
    <t>Rokiškio baseinas</t>
  </si>
  <si>
    <t>Turto valdymo ir ūkio skyrius iš viso</t>
  </si>
  <si>
    <t>Statybos ir infrastruktūros plėtros skyrius iš viso</t>
  </si>
  <si>
    <t>Jaunimo politikos įgyvendinimo programa</t>
  </si>
  <si>
    <t>Darželiams, mokykloms - įrangai įsigyti, higienos reikalavimų vykdymui</t>
  </si>
  <si>
    <t>Mokyklinių autobusų remontui</t>
  </si>
  <si>
    <t>Žemės sklypų kadastrinių matavimų atlikimas ir kitos paslaugos</t>
  </si>
  <si>
    <t>Socialinė parama mokiniams - nemokamas maitinimas vaikams,turintiems neįgalumą</t>
  </si>
  <si>
    <t>Rokiškio rajono savivaldybės tarybos</t>
  </si>
  <si>
    <t>8 priedas</t>
  </si>
  <si>
    <t>Turto valdymo ir ūkio skyrius</t>
  </si>
  <si>
    <t>Nekilnojamojo turto įregistravimas</t>
  </si>
  <si>
    <t>Nekilnojamojo turto nuomos specialioji programa</t>
  </si>
  <si>
    <t>Statybos ir  infrastruktūros plėtros skyrius</t>
  </si>
  <si>
    <t>Investiciniams projektams,galimybių studijoms ir kitiems dokumentams rengti</t>
  </si>
  <si>
    <t>KULTŪROS, SPPORTO, BENDRUOMENĖS IR VAIKŲ IR JAUNIMO GYVENIMO AKTYVINIMO PROGRAMA (03)</t>
  </si>
  <si>
    <t>Nusikalstamų veikų prevencijos ir kontrolės programa</t>
  </si>
  <si>
    <t>Darbo politikos formavavimas ir įgyvendinimas</t>
  </si>
  <si>
    <t>RAJONO INFRASTRUKTŪROS OBJEKTŲ PRIEŽIŪRA, PLĖTRA IR MODERNIZAVIMAS (05)</t>
  </si>
  <si>
    <t>KAIMO PLĖTROS, APLINKOS APSAUGOS IR VERSLO SKATINIMAS (06)</t>
  </si>
  <si>
    <t>PRATC už atliekų tvarkymą</t>
  </si>
  <si>
    <t>Nuostolingų maršrutų išlaidoms kompensuoti</t>
  </si>
  <si>
    <t>Finansų skyrius iš viso</t>
  </si>
  <si>
    <t>Mokymosi pasiekimų patikrinimams organizuoti ir vykdyti</t>
  </si>
  <si>
    <t>Senamiesčio prog. Laibgalių ikimok. ir priešm.ugymo sk.</t>
  </si>
  <si>
    <t>Kamajų A.Strazdo gimnazijos Jūžintų sk.</t>
  </si>
  <si>
    <t>Obelių ikimok.ir priešmok.ugdymo sk.</t>
  </si>
  <si>
    <t>Jaunimo centras</t>
  </si>
  <si>
    <t>Muzikos mokyklos choreografijos sk.</t>
  </si>
  <si>
    <t>Obelių socialinių paslaugų namai</t>
  </si>
  <si>
    <t>Dalyvaujamajam biudžetui</t>
  </si>
  <si>
    <t>Obelių  socialinių paslaugų namai</t>
  </si>
  <si>
    <t>Finansinė parama atvykstantiems gydytojams ir rezidentams</t>
  </si>
  <si>
    <t>Daugiabučių namų bendrijų rėmimo fondas</t>
  </si>
  <si>
    <t>Rokiškio rajono teritorijos ir Rokiškio miesto teritorijos bendrųjų ir detaliųjų planų parengimas</t>
  </si>
  <si>
    <t>Dotacijos grąžinimas</t>
  </si>
  <si>
    <t>Švietimo ir sporto skyrius iš viso</t>
  </si>
  <si>
    <t>Komunikacijos ir kultūros skyrius iš viso</t>
  </si>
  <si>
    <t>Sporto nevyriausybinių renginių finansavimas</t>
  </si>
  <si>
    <t>Rajono renginių finansavimas</t>
  </si>
  <si>
    <t>Leidybos ir komunikacijos priemonių finansavimas</t>
  </si>
  <si>
    <t>Kaimo kultūrinės veiklos finansavimas</t>
  </si>
  <si>
    <t>Kultūrinės veiklos sklaidos ir kokybės gerinimo finansavimas</t>
  </si>
  <si>
    <t>Etninės kultūros, istorijos ir tautinės atminties išsaugojimo veiklų finansavimas ir organizavimas</t>
  </si>
  <si>
    <t>Švietimo ir sporto skyrius</t>
  </si>
  <si>
    <t xml:space="preserve">Architektūros ir paveldosaugos skyrius </t>
  </si>
  <si>
    <t xml:space="preserve">Žemės ūkio skyrius </t>
  </si>
  <si>
    <t xml:space="preserve">Socialinės paramos ir sveikatos skyrius </t>
  </si>
  <si>
    <t xml:space="preserve">Švietimo ir sporto skyrius 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</si>
  <si>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</si>
  <si>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</si>
  <si>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</si>
  <si>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</si>
  <si>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</si>
  <si>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</si>
  <si>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Maisto atliekoms utilizuoti</t>
  </si>
  <si>
    <t>Darželiams, mokykloms - įrangai įsigyti, higienos reikalavimams vykdyti</t>
  </si>
  <si>
    <t>Kompiuterinių technologijoms atnaujinti</t>
  </si>
  <si>
    <t>Lauko aikštelėms ikimokyklinėse įstaigose atnaujinti ir darbo vietoms įvertinti</t>
  </si>
  <si>
    <t>Juozo Tumo-Vaižganto gimnazija</t>
  </si>
  <si>
    <t>Juozo Keliuočio viešoji biblioteka</t>
  </si>
  <si>
    <t>Kamajų Antano Strazdo gimnazija</t>
  </si>
  <si>
    <t>Kamajų Antano Strazdo gimnazijos Jūžintų sk.</t>
  </si>
  <si>
    <t>IŠ VISO ŠVIETIMO ĮSTAIGŲ:</t>
  </si>
  <si>
    <t xml:space="preserve">Finansų skyrius </t>
  </si>
  <si>
    <t>J.Tumo-Vaižganto gimn.VŠĮ Rokiškio psich.ligoninės mokymo sk.</t>
  </si>
  <si>
    <t>J.Tumo-Vaižganto gimn. suaugusiųjų ir jaunimo sk.</t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</si>
  <si>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</si>
  <si>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</si>
  <si>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</si>
  <si>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Pagalbos pinigų ir kitų išmokų finansavimas</t>
  </si>
  <si>
    <t>Pirmoko krepšelis</t>
  </si>
  <si>
    <t>iš jų: Obelių bendruomenės projektui ,,Obelių ežero pakrantės sutvarkymas"</t>
  </si>
  <si>
    <t>Būsto nuomos mokesčio daliai finansuoti</t>
  </si>
  <si>
    <t>Finansinė parama atvykstantiems pedagogams</t>
  </si>
  <si>
    <t>Eil.     Nr.</t>
  </si>
  <si>
    <t>Pajamų klasifikacijos kodas</t>
  </si>
  <si>
    <t xml:space="preserve">            Pajamos</t>
  </si>
  <si>
    <t>1.1.</t>
  </si>
  <si>
    <t>1.1.1.</t>
  </si>
  <si>
    <t>1.1.1.1.1.</t>
  </si>
  <si>
    <t>Gyventojų pajamų mokestis</t>
  </si>
  <si>
    <t>1.1.3.</t>
  </si>
  <si>
    <t>1.1.3.1.</t>
  </si>
  <si>
    <t>Žemės mokestis</t>
  </si>
  <si>
    <t>1.1.3.2.</t>
  </si>
  <si>
    <t>1.1.3.3.</t>
  </si>
  <si>
    <t>Nekilnojamojo turto mokestis</t>
  </si>
  <si>
    <t>1.1.4.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</si>
  <si>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</si>
  <si>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</si>
  <si>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</si>
  <si>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</si>
  <si>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</si>
  <si>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</si>
  <si>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</si>
  <si>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</si>
  <si>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</si>
  <si>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</si>
  <si>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</si>
  <si>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</si>
  <si>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</si>
  <si>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</si>
  <si>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Ugdymo,maitinimo ir pavėžėjimo lėšos socialinę riziką patiriančių vaikų ikimokykliniam ugdymui užtikrinti</t>
  </si>
  <si>
    <t>1.3.4.2.</t>
  </si>
  <si>
    <t>1.3.4.2.1.1.1.</t>
  </si>
  <si>
    <t>1.3.4.2.1.1.2.</t>
  </si>
  <si>
    <t>1.4.</t>
  </si>
  <si>
    <t>1.4.1.</t>
  </si>
  <si>
    <t>1.4.1.4.1.</t>
  </si>
  <si>
    <t>Nuomos mokestis už valstybinę žemę ir valstybinio vidaus fondo vandens telkinius</t>
  </si>
  <si>
    <t>Dividendai</t>
  </si>
  <si>
    <t>1.4.1.4.2.1.</t>
  </si>
  <si>
    <t xml:space="preserve">Pajamos už teikiamas paslaugas </t>
  </si>
  <si>
    <t>Valstybės rinkliavos</t>
  </si>
  <si>
    <t>Vietinės rinkliavos</t>
  </si>
  <si>
    <t>1.4.3.1.</t>
  </si>
  <si>
    <t>Pajamos iš baudų ir konfiskuoto turto ir kitų netesybų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</si>
  <si>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</si>
  <si>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</si>
  <si>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</si>
  <si>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</si>
  <si>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</si>
  <si>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</si>
  <si>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</si>
  <si>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</si>
  <si>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</si>
  <si>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Civilinės būklės aktų registravimas</t>
  </si>
  <si>
    <t>Pirminė teisinė pagalba</t>
  </si>
  <si>
    <t>Gyventojų registro tvarkymas ir duomenų teikimas valstybės registrui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</si>
  <si>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</si>
  <si>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</si>
  <si>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</si>
  <si>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</si>
  <si>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</si>
  <si>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</si>
  <si>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</si>
  <si>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</si>
  <si>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</si>
  <si>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</si>
  <si>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</si>
  <si>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</si>
  <si>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</si>
  <si>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</si>
  <si>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</si>
  <si>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</si>
  <si>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</si>
  <si>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</si>
  <si>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</si>
  <si>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</si>
  <si>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</si>
  <si>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</si>
  <si>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</si>
  <si>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</si>
  <si>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Koordinuotai teikiamų paslaugų vaikams ir vaiko atstovams koordinavimui finansuoti (TBK)</t>
  </si>
  <si>
    <t>KULTŪROS MINISTERIJA</t>
  </si>
  <si>
    <t>Viešajai bibliotekai dokumentams įsigyti</t>
  </si>
  <si>
    <t>Turizmo ir verslo plėtros programa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</si>
  <si>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</si>
  <si>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</si>
  <si>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</si>
  <si>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</si>
  <si>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</si>
  <si>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</si>
  <si>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</si>
  <si>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</si>
  <si>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</si>
  <si>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</si>
  <si>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</si>
  <si>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</si>
  <si>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</si>
  <si>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</si>
  <si>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</si>
  <si>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 xml:space="preserve">                administravimas  </t>
  </si>
  <si>
    <t xml:space="preserve">                administravimas-švietimo įstaigoms 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</si>
  <si>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</si>
  <si>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</si>
  <si>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</si>
  <si>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</si>
  <si>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</si>
  <si>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</si>
  <si>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</si>
  <si>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</si>
  <si>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</si>
  <si>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</si>
  <si>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</si>
  <si>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</si>
  <si>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</si>
  <si>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</si>
  <si>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</si>
  <si>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</si>
  <si>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</si>
  <si>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</si>
  <si>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</si>
  <si>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>Žemės ūkio  funkcijos vykdymas iš viso:</t>
  </si>
  <si>
    <t>Erdvinių duomenų rinkinio tvarkymo funkcija</t>
  </si>
  <si>
    <t>Valstybės perduotai įstaigai finansuoti</t>
  </si>
  <si>
    <t xml:space="preserve">Švietimo įstaigoms </t>
  </si>
  <si>
    <t xml:space="preserve">Akredituotai vaikų dienos socialinei priežiūrai </t>
  </si>
  <si>
    <t>Lėšos  savivaldybės viešajai bibliotekai dokumentams įsigyti</t>
  </si>
  <si>
    <t>VB lėšos neformaliam švietimui</t>
  </si>
  <si>
    <t xml:space="preserve">Iš viso </t>
  </si>
  <si>
    <t>Projekto pavadinimas</t>
  </si>
  <si>
    <t>Pareiškėjas/projekto vykdytojas</t>
  </si>
  <si>
    <t xml:space="preserve"> iš jų: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</si>
  <si>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</si>
  <si>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</si>
  <si>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</si>
  <si>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</si>
  <si>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</si>
  <si>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</si>
  <si>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</si>
  <si>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</si>
  <si>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</si>
  <si>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Socialinio būsto fondo plėtra Rokiškio rajono savivaldybėje </t>
  </si>
  <si>
    <t xml:space="preserve">Kompleksinių paslaugų šeimai teikimas Rokiškio rajone Nr. 08.4.1-ESFA-V-416-10-0005 </t>
  </si>
  <si>
    <t>Rokiškio rajono Suvainiškio, Čedasų ir Žiobiškio kadastrinių vietovių dalies melioracijos griovių ir juose esančių statinių rekonstravimas</t>
  </si>
  <si>
    <t>Rokiškio r. savivaldybės administracija</t>
  </si>
  <si>
    <t>Rokiškio rajono Neretėlės upės baseino dalies melioracijos griovių ir juose esančių statinių rekonstravimas</t>
  </si>
  <si>
    <t>Salų dvaro sodybos rūmų pritaikymas kultūriniam turizmui</t>
  </si>
  <si>
    <t>Atsinaujinančių energijos išteklių (75 kW galios saulės elektrinės) diegimas Rokiškio Juozo Tumo-Vaižganto gimnazijoje (Taikos g. 17, Rokiškis)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</si>
  <si>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</si>
  <si>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</si>
  <si>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</si>
  <si>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Rokiškio rajono, Kupiškio rajono ir Visagino savivaldybių mokyklų sveikatos kabinetų atnaujinimas </t>
  </si>
  <si>
    <t>Salų dvaro kūrybos ir laisvalaikio rezidencija</t>
  </si>
  <si>
    <t>Rokiškio tautodailininkų asociacija</t>
  </si>
  <si>
    <t xml:space="preserve">Kriaunų varpas - bažnyčiai ir sėlių krašto žmonėms </t>
  </si>
  <si>
    <t xml:space="preserve"> Kriaunų Dievo Apvaizdos parapija</t>
  </si>
  <si>
    <t>BĮ Rokiškio baseinas</t>
  </si>
  <si>
    <t xml:space="preserve">Vaikų laisvalaikio ir pramogų erdvė Bajoruose </t>
  </si>
  <si>
    <t>Bajorų kaimo bendruomenė</t>
  </si>
  <si>
    <t>Kokybės krepšelis</t>
  </si>
  <si>
    <t>Rokiškio J. Tumo-Vaižganto gimnazija</t>
  </si>
  <si>
    <t>IŠ VISO</t>
  </si>
  <si>
    <t>1.3.4.1.1.5.2.</t>
  </si>
  <si>
    <t>1.3.4.1.1.5.6.</t>
  </si>
  <si>
    <t xml:space="preserve"> </t>
  </si>
  <si>
    <t>1.3.3.</t>
  </si>
  <si>
    <t>Europos Sąjungos finansinės paramos lėšos</t>
  </si>
  <si>
    <t>Skolintos lėšos</t>
  </si>
  <si>
    <t>Lėšos ameninei pagalbai teikti ir administruoti</t>
  </si>
  <si>
    <t>Lėšos asmeninei pagalbai teikti ir administruoti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</si>
  <si>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</si>
  <si>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</si>
  <si>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>J.Tumo-Vaižganto gimnazija-klasėms, mokinių, turinčioms moksleivius su specialiais  ugdymo poreikiais</t>
  </si>
  <si>
    <t xml:space="preserve">                                                  Rokiškio rajono savivaldybės tarybos  </t>
  </si>
  <si>
    <t xml:space="preserve">                                                                               2 priedas</t>
  </si>
  <si>
    <t>Prisidėjimui prie projektų, finansuojamų  ES ir kitų fondų paramos, valstybės investicijų programos lėšų</t>
  </si>
  <si>
    <t>Katalėjos šeimynos finansavimas</t>
  </si>
  <si>
    <t>Finansinė parama daugiavaikėms šeimoms ir globėjams</t>
  </si>
  <si>
    <t>ROKIŠKIO RAJONO SAVIVALDYBĖS 2023 METŲ BIUDŽETO ASIGNAVIMAI</t>
  </si>
  <si>
    <t xml:space="preserve">                                             ROKIŠKIO RAJONO SAVIVALDYBĖS 2023 METŲ BIUDŽETO ASIGNAVIMAI PROGRAMOMS</t>
  </si>
  <si>
    <t>Transporto paslaugų finansavimas neįgaliesiems</t>
  </si>
  <si>
    <t>Asmens higienos paslaugos kompensavimas</t>
  </si>
  <si>
    <t>Viešosioms nemokamo vietinio reguliaraus susisiekimo paslaugoms organizuoti</t>
  </si>
  <si>
    <t>Individualių nuotekų valymo įrenginių įrengimo išlaidoms dalinai kompensuoti</t>
  </si>
  <si>
    <t>Gyvenviečių gruntinio vandens nutekėjimo avarinei būklei likviduoti</t>
  </si>
  <si>
    <t>Programinės įrangos nuoma ir kibernetinio saugumo auditas</t>
  </si>
  <si>
    <t>Gyventojų pajamų mokestis iš veiklos,turint verslo liudijimą</t>
  </si>
  <si>
    <t>Duomenų apie suteiktą valstybės pagalbą teikimas valstybės registrui</t>
  </si>
  <si>
    <t>Lėšos ugdymui, maitinimui ir pavėžėjimui socialinę riziką patiriančių vaikų ikimokykliniam ugdymui užtikrinti</t>
  </si>
  <si>
    <t>Kompleksinėms paslaugoms šeimai organizuoti</t>
  </si>
  <si>
    <t>Akredituotai  socialinei reabilitacijai neįgaliesiems bendruomenėje organizuoti, teikti ir administruoti</t>
  </si>
  <si>
    <t>APLINKOS MINISTERIJA</t>
  </si>
  <si>
    <t>Trūkstamų specialistų pritraukimo į Panevėžio apskrities vyriausiojo policijos komisriato Rokiškio policijos komisariatą programa</t>
  </si>
  <si>
    <t>Akredituotai socialinei reabilitacijai neįgaliesiems bendruomenėje organizuoti, teikti  ir administruoti</t>
  </si>
  <si>
    <t>ROKIŠKIO RAJONO SAVIVALDYBĖS BIUDŽETO 2023 METŲ VALSTYBĖS BIUDŽETO DOTACIJOS</t>
  </si>
  <si>
    <t xml:space="preserve">  ROKIŠKIO RAJONO SAVIVALDYBĖS 2023 METŲ BIUDŽETO PAJAMOS</t>
  </si>
  <si>
    <t>Daugiafunkcinės salės Rokiškio m. Taikos g. 21A statybai (VIP)</t>
  </si>
  <si>
    <t>Akredituotai vaikų dienos socialinei priežiūrai</t>
  </si>
  <si>
    <t>Akredituotai socialinei reabilitacijai neįgaliesiems bendruomenėje organizuoti, teikti ir administruoti</t>
  </si>
  <si>
    <t>Naujagimio kratelis</t>
  </si>
  <si>
    <t>Naujagimio kraitelis</t>
  </si>
  <si>
    <t>Akredituotai  socialinei reabilitacijai neįgaliesiems bendruomenėje organizuoti, teikti ir administruoti iš viso:</t>
  </si>
  <si>
    <t xml:space="preserve">        iš jų :  socialinių išmokų administravimas </t>
  </si>
  <si>
    <t xml:space="preserve">        iš jų:</t>
  </si>
  <si>
    <t>Eil. Nr</t>
  </si>
  <si>
    <t>SSVP Programa</t>
  </si>
  <si>
    <t>Projekto vertė iš viso</t>
  </si>
  <si>
    <t>Statybos ir infrastruktūros plėtros skyrius (SIPS)</t>
  </si>
  <si>
    <t>SIPS</t>
  </si>
  <si>
    <t>Gatvės prie gyvenamųjų sklypų kvartalo Rokiškio mieste (tarp Topolių g. ir Pandėlio g.) statyba</t>
  </si>
  <si>
    <t xml:space="preserve">Rokiškio rajono Apaščios, Lailūnų ir Gerkonių kadastrinių vietovių dalies melioracijos griovių ir juose esančių statinių rekonstravimas </t>
  </si>
  <si>
    <t>Rokiškio rajono savivaldybės administracija</t>
  </si>
  <si>
    <t xml:space="preserve">Rokiškio rajono Skemų ir Gindvilių kadastrinių vietovių dalies melioracijos griovių ir juose esančių statinių rekonstravimas </t>
  </si>
  <si>
    <t>Rokiškio mokyklos-darželio ,,Ąžuoliukas“ pastato, Taikos g. 15, LT-42142 Rokiškis, energinio efektyvumo didinimas</t>
  </si>
  <si>
    <t>Rokiškio lopšelio-darželio „Varpelis“ (Jaunystės g. 15, Rokiškis) pastato energinio efektyvumo didinimas</t>
  </si>
  <si>
    <t>Socialinės paramos ir sveikatos skyrius (SPSS)</t>
  </si>
  <si>
    <t xml:space="preserve"> Rokiškio r. visuomenės sveikatos biuras</t>
  </si>
  <si>
    <t>Mykolo Romerio pažinimo erdvė (pareiškėjas - Rokiškio r. Obelių gimnazija)</t>
  </si>
  <si>
    <t xml:space="preserve"> Rokiškio r. Obelių gimnazija</t>
  </si>
  <si>
    <t>Švietimo ir sporto skyrius (ŠSS)</t>
  </si>
  <si>
    <t>ŠSS</t>
  </si>
  <si>
    <t>Akredituotas projektas: 2021-1-LT01-KA120-SCH-000046703 pagal programos „Erasmus+“ 1 pagrindinį veiksmą – asmenų mobilumas mokymosi tikslais</t>
  </si>
  <si>
    <t xml:space="preserve"> Pajamų ir pelno mokesčiai (3+4)</t>
  </si>
  <si>
    <t>MOKESČIAI (2+5+9)</t>
  </si>
  <si>
    <t>Turto  mokesčiai (6+7+8)</t>
  </si>
  <si>
    <t>Prekių ir paslaugų mokesčiai (10)</t>
  </si>
  <si>
    <t>Laisvės kovų įamžinimo komisijos veiklos programa</t>
  </si>
  <si>
    <t>Religinių bendruomenių rėmimo programa</t>
  </si>
  <si>
    <t>Nekilnojamojo  kultūros paveldo pažinimo sklaidos ir atgaivinimo programa</t>
  </si>
  <si>
    <t xml:space="preserve">        Velykalnio bendruomenės Lašo g. teritorijos sutvarkymo projektui</t>
  </si>
  <si>
    <t>Strateginio planavimo ir investicijų   skyrius iš viso</t>
  </si>
  <si>
    <t xml:space="preserve">Strateginio planavimo ir investicijų   skyrius </t>
  </si>
  <si>
    <t>Savivaldybės strateginio ilgalaikio plėtros plano ir kitų strateginių dokumentų rengimo paslaugos</t>
  </si>
  <si>
    <t>Daugiafunkcės salės Rokiškio m. Taikos g.21A  statybai (VIP)</t>
  </si>
  <si>
    <t>Paveldimo ir dovanojimo mokestis</t>
  </si>
  <si>
    <t>Juozo Tumo-Vaižganto gimnazijos klasėms, turinčioms moksleivių su specialiaisiais ugdymo poreikiais</t>
  </si>
  <si>
    <t>Neformaliajam vaikų švietimui</t>
  </si>
  <si>
    <t>Daugiafunkcės salės Rokiškio m. Taikos g.21A  statybai (VBD/VIP)</t>
  </si>
  <si>
    <t>Ūkio lėšos mokykloms, turinčioms mokinių su specialiaisiais poreikiais - Rokiškio pagrindinei mokyklai</t>
  </si>
  <si>
    <t>Juozo Tumo-Vaižganto gimnazijos klasėms, turinčioms mokinių su specialiaisiais ugdymo poreikiais</t>
  </si>
  <si>
    <t>Koordinuotai teikiamų paslaugų vaikams ir vaiko atstovams - koordinavimui finansuoti (TBK)</t>
  </si>
  <si>
    <t>Lėšos neformaliajam vaikų švietimui</t>
  </si>
  <si>
    <t>Lėšos  ugdymui, maitinimui ir pavėžėjimui - socialinę riziką patiriančių vaikų ikimokykliniam ugdymui užtikrinti</t>
  </si>
  <si>
    <t>Akredituotai vaikų  dienos socialinei priežiūrai  organizuoti, teikti ir administruoti</t>
  </si>
  <si>
    <t>Mero ir mero pavaduotojo darbo apmokėjimas</t>
  </si>
  <si>
    <t>Socialinė parama mokiniams - nemokamas maitinimas vaikams, turintiems neįgalumą</t>
  </si>
  <si>
    <t>Daugiafunkcės salės Rokiškio m. Taikos g. 21A statybai (VIP)</t>
  </si>
  <si>
    <t>Kompiuterinėms technologijoms atnaujinti</t>
  </si>
  <si>
    <t>Nevyriausybinių organizacijų projektų finansavimas</t>
  </si>
  <si>
    <t>Senamiesčio prog. Laibgalių ikimok. ir priešm. ugymo sk.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</si>
  <si>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</si>
  <si>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</si>
  <si>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</si>
  <si>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Savivaldybių viešosioms bibliotekoms dokumentams 2023 metais įsigyti (VBD)</t>
  </si>
  <si>
    <t>Ameninės pagalbos paslaugos finansavimas  ir administravimas iš viso:</t>
  </si>
  <si>
    <t>Ameninės pagalbos paslaugos finansavimas</t>
  </si>
  <si>
    <t>Akredituotų ir licenzijuotų paslaugų finansavimas</t>
  </si>
  <si>
    <t xml:space="preserve">                                                                               2023 m. sausio 27 d. sprendimo Nr. TS-3</t>
  </si>
  <si>
    <t>2023 m. sausio 27 d. sprendimo Nr. TS-3</t>
  </si>
  <si>
    <t xml:space="preserve">2023 M. VALSTYBĖS BIUDŽETO DOTACIJŲ PASKIRSTYMAS PROGRAMOMS </t>
  </si>
  <si>
    <r>
      <t xml:space="preserve">                   </t>
    </r>
    <r>
      <rPr>
        <b/>
        <sz val="12"/>
        <rFont val="Times New Roman"/>
        <family val="1"/>
        <charset val="186"/>
      </rPr>
      <t xml:space="preserve">   IR ASGNAVIMŲ VALDYTOJAMS</t>
    </r>
  </si>
  <si>
    <t>2023 m. sausio 27 d. sprendimo TS -3</t>
  </si>
  <si>
    <r>
      <t xml:space="preserve">                                                    </t>
    </r>
    <r>
      <rPr>
        <sz val="12"/>
        <rFont val="Times New Roman"/>
        <family val="1"/>
        <charset val="186"/>
      </rPr>
      <t xml:space="preserve">    redakcija)</t>
    </r>
  </si>
  <si>
    <t>1.3.4.1.1.5.7.</t>
  </si>
  <si>
    <t>Lėšos socialinių paslaugų srities darbuotojų minimaliesiems pareiginės algos pastoviosios dalies koeficientams didinti</t>
  </si>
  <si>
    <t>1.3.4.1.1.5.8.</t>
  </si>
  <si>
    <t>Lėšos socialinių paslaugų šakos kolektyvinėje sutartyje numatytiems įsipareigojimams įgyvendinti</t>
  </si>
  <si>
    <t>1.3.4.1.1.5.9.</t>
  </si>
  <si>
    <t>Bendruomeninei veiklai stiprinti</t>
  </si>
  <si>
    <t>1.3.4.1.1.5.10.</t>
  </si>
  <si>
    <t xml:space="preserve">Lėšos kompensacijoms už būsto suteikimą užsieniečiams, pasitraukusiems iš Ukrainos, finansuoti </t>
  </si>
  <si>
    <t>Kelių priežiūros ir plėtros programa</t>
  </si>
  <si>
    <t>Perimamų patikėjimo teise valstybinės žemės ir miško sklypų patikėtinio funkcijai vykdyti</t>
  </si>
  <si>
    <t>SUSISIEKIMO MINISTERIJA</t>
  </si>
  <si>
    <t xml:space="preserve"> 1.3.4.1.1.1.5.</t>
  </si>
  <si>
    <t>1.3.4.1.1.5.3.</t>
  </si>
  <si>
    <t>1.3.4.1.1.5.4.</t>
  </si>
  <si>
    <t>1.3.4.1.1.5.5.</t>
  </si>
  <si>
    <t>1.3.4.1.1.5.11.</t>
  </si>
  <si>
    <t>1.3.4.2.1.1.3.</t>
  </si>
  <si>
    <t xml:space="preserve">(Rokiškio rajono savivaldybės tarybos </t>
  </si>
  <si>
    <t>redakcija)</t>
  </si>
  <si>
    <t>Lėšos socialinių paslaugų šakos kolektyvinėje sutartyje numatytiems įsipareigijimams įgyvendinti</t>
  </si>
  <si>
    <t>Lėšos kompensacijoms už būsto suteikimą užsieniečiams, pasitraukusiems iš Ukrainos, finansuoti iš viso</t>
  </si>
  <si>
    <t>Specialioji tikslinė dotacija iš viso (14+15+16+17+18)</t>
  </si>
  <si>
    <t>19,96998</t>
  </si>
  <si>
    <t xml:space="preserve">                                                                                                        </t>
  </si>
  <si>
    <t>iš jų darbo užmokesčiui</t>
  </si>
  <si>
    <t xml:space="preserve">    suma</t>
  </si>
  <si>
    <t>1.3.4.1.1.5.12</t>
  </si>
  <si>
    <t>Lėšos būsto pritaikymui neįgaliesiems</t>
  </si>
  <si>
    <t>1.3.4.1.1.5.13.</t>
  </si>
  <si>
    <t>Rokiškio rajono melioracijos statinių rekonstrukcijai (VBD/VIP)</t>
  </si>
  <si>
    <t>1.3.4.2.1.1.4.</t>
  </si>
  <si>
    <t>1.4.1.2.1.2.</t>
  </si>
  <si>
    <t>Mokestis už  kitus valstybinius gamtos išteklius</t>
  </si>
  <si>
    <t>1.4.2.1.</t>
  </si>
  <si>
    <t>1.4.2.1.6.1</t>
  </si>
  <si>
    <t>1.4.2.1.6.2</t>
  </si>
  <si>
    <t>1.1.4.7.2.2.</t>
  </si>
  <si>
    <t>1.4.4.1.</t>
  </si>
  <si>
    <t>suma</t>
  </si>
  <si>
    <t>Švietimo įstaigoms (4 priedas)</t>
  </si>
  <si>
    <t>Kompleksinėms paslaugoms šeimai organizuoti iš viso:</t>
  </si>
  <si>
    <t>Lėšos būsto pritaikymui neįgaliesiems iš viso</t>
  </si>
  <si>
    <t>Lėšų grąžinimas pagal Neįgaliųjų reikalų departamento patikros išvadą</t>
  </si>
  <si>
    <t>tūkst. Eur</t>
  </si>
  <si>
    <t xml:space="preserve">   IŠ  VISO VALSTYBĖS DELEGUOTOMS FUNKCIJOMS (1+5+9+17+20+23+26+28+30+32)</t>
  </si>
  <si>
    <t xml:space="preserve">  IŠ VISO VALSTYBĖS BIUDŽETO LĖŠŲ (34+35)</t>
  </si>
  <si>
    <t>Reikalinga 2023 metams , tūkst. Eur</t>
  </si>
  <si>
    <t>Atsinaujinančių energijos šaltinių siegimas Rokiškio Juozo Tumo-Vaižganto gimnazijoje (M.Riomerio g.1, Rokiškis)</t>
  </si>
  <si>
    <t>1.3.4.1.1.5.14.</t>
  </si>
  <si>
    <t xml:space="preserve">Lėšos siekiant užtikrinti LR piniginės socialinės  paramos nepasiturintiems gyventojams įstatymo įgyvendinimą </t>
  </si>
  <si>
    <t>1.3.4.1.1.5.15.</t>
  </si>
  <si>
    <t>Lėšos išlaidoms , susijusioms su mokyklų mokytojų, dirbančių pagal ikimokyklinio, priešmokyklinio, bendrojo  ugdymo ir profesinio mokymo programas, personalo optimizavimui ir atnaujinimui, apmokėti</t>
  </si>
  <si>
    <t>Dotacija naudotų padangų, kurių turėtojo nustatyti neįmanoma arba kuris neegzistuoja, tvarkymui</t>
  </si>
  <si>
    <t>1.3.4.1.1.5.16.</t>
  </si>
  <si>
    <t>1.3.4.1.1.5.17.</t>
  </si>
  <si>
    <t>Dotacija naudotų padangų, kurių turėtojo nustatyti neįmanoma arba kuris neegzistuoja, tvarkymui Aplinkos apsaugos rėmimo specialiajai programai)</t>
  </si>
  <si>
    <t xml:space="preserve">Statybos ir infrastruktūros plėtros skyrius </t>
  </si>
  <si>
    <t>Mero rezervas</t>
  </si>
  <si>
    <t xml:space="preserve">        Kairelių bendruomenės centro aplinkos sutvarkymo Gediškių kaime projektui</t>
  </si>
  <si>
    <t>Europos  Sąjungos finansinės paramos lėšos projektams finansuoti</t>
  </si>
  <si>
    <t>Europos Sąjungos  finansinės paramos lėšos projektams finansuoti</t>
  </si>
  <si>
    <t>Iš viso ES FP*</t>
  </si>
  <si>
    <r>
      <t>VF*</t>
    </r>
    <r>
      <rPr>
        <sz val="10"/>
        <rFont val="Arial"/>
        <family val="2"/>
        <charset val="186"/>
      </rPr>
      <t xml:space="preserve"> - valstybės biudžeto tikslinės lėšos</t>
    </r>
  </si>
  <si>
    <r>
      <t xml:space="preserve">ES FP*- </t>
    </r>
    <r>
      <rPr>
        <sz val="10"/>
        <rFont val="Arial"/>
        <family val="2"/>
        <charset val="186"/>
      </rPr>
      <t>Europos Sąjungos finansinė parama</t>
    </r>
  </si>
  <si>
    <t>Aplinkos apsaugos rėmimo spec.programa</t>
  </si>
  <si>
    <r>
      <t xml:space="preserve">SF* - </t>
    </r>
    <r>
      <rPr>
        <sz val="10"/>
        <rFont val="Times New Roman"/>
        <family val="1"/>
        <charset val="186"/>
      </rPr>
      <t>savarankiška funkcija</t>
    </r>
  </si>
  <si>
    <r>
      <t>VF*</t>
    </r>
    <r>
      <rPr>
        <sz val="10"/>
        <rFont val="Times New Roman"/>
        <family val="1"/>
        <charset val="186"/>
      </rPr>
      <t xml:space="preserve"> - valstybės biudžeto tikslinės lėšos</t>
    </r>
  </si>
  <si>
    <r>
      <t xml:space="preserve">ML* - </t>
    </r>
    <r>
      <rPr>
        <sz val="10"/>
        <rFont val="Times New Roman"/>
        <family val="1"/>
        <charset val="186"/>
      </rPr>
      <t>mokymo lėšos</t>
    </r>
  </si>
  <si>
    <r>
      <t xml:space="preserve">SP PR* - </t>
    </r>
    <r>
      <rPr>
        <sz val="10"/>
        <rFont val="Times New Roman"/>
        <family val="1"/>
        <charset val="186"/>
      </rPr>
      <t>specialioji programa</t>
    </r>
  </si>
  <si>
    <r>
      <t xml:space="preserve">ES FP*- </t>
    </r>
    <r>
      <rPr>
        <sz val="10"/>
        <rFont val="Times New Roman"/>
        <family val="1"/>
        <charset val="186"/>
      </rPr>
      <t>Europos Sąjungos finansinė parama</t>
    </r>
  </si>
  <si>
    <t>TEISINGUMO MINISTERIJA</t>
  </si>
  <si>
    <t>VIDAUS REIKALŲ MINISTERIJA</t>
  </si>
  <si>
    <r>
      <t>I</t>
    </r>
    <r>
      <rPr>
        <b/>
        <sz val="10"/>
        <rFont val="Arial"/>
        <family val="2"/>
        <charset val="186"/>
      </rPr>
      <t>Š VISO SKYRIŲ IR ĮSTAIGŲ:</t>
    </r>
  </si>
  <si>
    <r>
      <t xml:space="preserve">                   </t>
    </r>
    <r>
      <rPr>
        <sz val="10"/>
        <rFont val="Arial"/>
        <family val="2"/>
        <charset val="186"/>
      </rPr>
      <t xml:space="preserve">   administravimas</t>
    </r>
  </si>
  <si>
    <r>
      <t xml:space="preserve">  </t>
    </r>
    <r>
      <rPr>
        <sz val="10"/>
        <rFont val="Arial"/>
        <family val="2"/>
        <charset val="186"/>
      </rPr>
      <t xml:space="preserve">   iš jų:</t>
    </r>
  </si>
  <si>
    <t xml:space="preserve"> redakcija)</t>
  </si>
  <si>
    <t>Lietuvos Respublikos Vyriausybės rezervo lėšos savivaldybių partirtoms išlaidoms, susijusioms su užsieniečiais, pasitraukusiais iš Ukrainos dėl Rusijos Federacijos karinių  veiksmų Ukrainoje, kompensuoti</t>
  </si>
  <si>
    <t>1.3.4.4.4.5.18</t>
  </si>
  <si>
    <t>Turto pajamos(45+46+47)</t>
  </si>
  <si>
    <t>Rinkliavos(50+51)</t>
  </si>
  <si>
    <t>KITOS PAJAMOS (44+48+49+53)</t>
  </si>
  <si>
    <t>VISI MOKESČIAI, PAJAMOS IR DOTACIJOS(1+11+43+54)</t>
  </si>
  <si>
    <t>Kitos dotacijos turtui įsigyti (39+40+41+42)</t>
  </si>
  <si>
    <t>DOTACIJOS (12+13+19+38)</t>
  </si>
  <si>
    <t>Kitos dotacijos einamiesiems tikslams (20+...+37)</t>
  </si>
  <si>
    <t>FINANSŲ  MINISTERIJA</t>
  </si>
  <si>
    <t xml:space="preserve">VALSTYBĖS INVESTICIJŲ PROGRAMOJE NUMATYTOMS KAPITALO INVESTICIJOMS FINANSUOTI </t>
  </si>
  <si>
    <t>KITOS DOTACIJOS (36+46+48+59+61+64+67)</t>
  </si>
  <si>
    <t xml:space="preserve">Lietuvos Respublikos Vyriausybės rezervo lėšos savivaldybių partirtoms išlaidoms, susijusioms su užsieniečiais, pasitraukusiais iš Ukrainos dėl Rusijos Federacijos karinių  veiksmų Ukrainoje, kompensuoti </t>
  </si>
  <si>
    <t>Panemunėlio  universalus daugiafunkcis centras</t>
  </si>
  <si>
    <t>"Mano upė tavo"</t>
  </si>
  <si>
    <t>Juodupės miestelio bendruomenė</t>
  </si>
  <si>
    <t xml:space="preserve">                                                                             2023 m. sausio 27 d. sprendimo Nr. TS-3</t>
  </si>
  <si>
    <t xml:space="preserve">                                                                                                  1 priedas</t>
  </si>
  <si>
    <t xml:space="preserve">                                                                               Rokiškio rajono savivaldybės tarybos  </t>
  </si>
  <si>
    <r>
      <t xml:space="preserve">                                                                                   </t>
    </r>
    <r>
      <rPr>
        <sz val="12"/>
        <rFont val="Times New Roman"/>
        <family val="1"/>
        <charset val="186"/>
      </rPr>
      <t>(Rokiškio rajono savivaldybės tarybos</t>
    </r>
  </si>
  <si>
    <r>
      <t xml:space="preserve">                                                                            </t>
    </r>
    <r>
      <rPr>
        <sz val="12"/>
        <rFont val="Times New Roman"/>
        <family val="1"/>
        <charset val="186"/>
      </rPr>
      <t xml:space="preserve">      redakcija)</t>
    </r>
  </si>
  <si>
    <t xml:space="preserve">                     (Rokiškio rajono savivaldybės tarybos</t>
  </si>
  <si>
    <t xml:space="preserve">                 (Rokiškio rajono savivaldybės tarybos</t>
  </si>
  <si>
    <t xml:space="preserve">                     redakcija)</t>
  </si>
  <si>
    <t>Švietimo centro pedagoginė psichologinė tarnyba</t>
  </si>
  <si>
    <t>„Atviros ekosistemos atsiskaitymams negrynaisiais pinigais bendrojo ugdymo įstaigų valgyklose kūrimas“, Nr. 04-002-P-0001</t>
  </si>
  <si>
    <t xml:space="preserve">                                                                                    2023 m. birželio 29d. sprendimo Nr. TS-238</t>
  </si>
  <si>
    <r>
      <t xml:space="preserve">                                             </t>
    </r>
    <r>
      <rPr>
        <sz val="12"/>
        <rFont val="Times New Roman"/>
        <family val="1"/>
        <charset val="186"/>
      </rPr>
      <t>(Rokiškio rajono savivaldybės tarybos</t>
    </r>
  </si>
  <si>
    <t xml:space="preserve">                                                                               2023m. Birželio 29 d. sprendimo Nr. TS-238</t>
  </si>
  <si>
    <t xml:space="preserve">IŠ VISO KITOMS TIKSLINĖMS DOTACIJOMS   (53+54+57+..+63+66+69+72+73+74+77+80+90+91+95+..+99)           </t>
  </si>
  <si>
    <t xml:space="preserve"> IŠ VISO VALSTYBĖS BIUDŽETO LĖŠŲ (52+102)</t>
  </si>
  <si>
    <t>IŠ VISO VALSTYBĖS DELEGUOTOMS FUNKCIJOMS VYKDYTI (1+..+9+14+15+16+20+24+37+38+39+46+47+..+51)</t>
  </si>
  <si>
    <t xml:space="preserve">   KURIEMS REIKALINGAS PRISIDĖJIMAS ,   SĄRAŠAS</t>
  </si>
  <si>
    <t xml:space="preserve">          2023 M. PLANUOJAMŲ VYKDYTI PROJEKTŲ, FINANSUOJAMŲ  ES IR KITŲ FONDŲ PARAMOS, VALSTYBĖS INVESTICIJŲ PROGRAMOS IR                                                </t>
  </si>
  <si>
    <t>Melioracijos statinių techninei būklei įvertinti</t>
  </si>
  <si>
    <t>Turizmo informacijos centras</t>
  </si>
  <si>
    <t>Lėšos vaikams, atvykusiems į Lietuvos Respubliką iš Ukrainos dėl Rusijos Federacijos karinių veiksmų  Ukrainoje, ugdyti ir pavėžėti į mokyklą ir atgal iš viso</t>
  </si>
  <si>
    <t>Lėšos išlaidoms, susijusioms su mokyklų mokytojų, dirbančių pagal ikimokyklinio, priešmokyklinio, bendrojo  ugdymo ir profesinio mokymo programas, personalo optimizavimui ir atnaujinimui, apmokėti iš viso</t>
  </si>
  <si>
    <t>Dotacija projektui ,,Atsinaujinančių energojos išteklių (75 k galios saulės elektrinės) diegimas Rokiškio  Juozo Tumo-Vaižganto gimnazijoje (Taikos g.17 Rokiškis)"</t>
  </si>
  <si>
    <t>Obelių ikimok. ir priešmok. ugdymo skyrius</t>
  </si>
  <si>
    <t>Lėšos vaikams, atvykusiems į Lietuvos Respubliką iš Ukrainos dėl Rusijos Federacijos karinių veiksmų  Ukrainoje, ugdyti ir pavėžėti į mokyklą ir atgal</t>
  </si>
  <si>
    <t>Lėšos vaikams, atvykusiems Lietuvos Respubliką iš Ukrainos dėl Rusijos Federacijos karinių veiksmų  Ukrainoje, ugdyti ir pavėžėti į mokyklą ir atgal</t>
  </si>
  <si>
    <t>Dotacija naudotoms padangoms, kurių turėtojo nustatyti neįmanoma arba kuris neegzistuoja, tvarkyti</t>
  </si>
  <si>
    <t>Obelių ikimok. ir priešmok. ugdymo sk.</t>
  </si>
  <si>
    <t>Atsinaujinančių energijos išteklių diegimas BĮ "Rokiškio baseinas"</t>
  </si>
  <si>
    <t>"Mokslo klubas kelyje"</t>
  </si>
  <si>
    <t>Asociacija "Išdrįsk keisti"</t>
  </si>
  <si>
    <t>"Natūralios vilnos produktų gamyba"</t>
  </si>
  <si>
    <t>Asociacija "Tradicinių amatų studija"</t>
  </si>
  <si>
    <t xml:space="preserve"> "Universaliojo dizaino taikymas ikimokykliniame ugdyme" 2021-2-LT01-KA122-SCH-000042116</t>
  </si>
  <si>
    <t xml:space="preserve">Suinteresuotųjų asmenų įtraukimas į viešojo valdymo sprendimų priėmimą Rokiškio rajono savivvaldybėje </t>
  </si>
  <si>
    <t xml:space="preserve">  2023 m. liepos  27 d. sprendimo Nr. TS-252</t>
  </si>
  <si>
    <t xml:space="preserve">                      2023 m. liepos 27 d. sprendimo Nr. TS-252</t>
  </si>
  <si>
    <t>2023 m. liepos 27 d. sprendimo Nr. TS-252</t>
  </si>
  <si>
    <t>2023 m.liepos 27  d. sprendimo Nr. TS-252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</si>
</sst>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-* #,##0.00\ _L_t_-;\-* #,##0.00\ _L_t_-;_-* &quot;-&quot;??\ _L_t_-;_-@_-"/>
    <numFmt numFmtId="166" formatCode="0.0"/>
    <numFmt numFmtId="167" formatCode="0.000"/>
    <numFmt numFmtId="168" formatCode="0.0000"/>
    <numFmt numFmtId="169" formatCode="0.00000"/>
    <numFmt numFmtId="170" formatCode="#,##0.000000"/>
  </numFmts>
  <fonts count="36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0"/>
      <name val="Arial"/>
      <family val="2"/>
      <charset val="186"/>
    </font>
    <font>
      <sz val="11"/>
      <name val="Arial"/>
      <family val="2"/>
      <charset val="186"/>
    </font>
    <font>
      <b/>
      <sz val="10"/>
      <name val="Times New Roman"/>
      <family val="1"/>
      <charset val="186"/>
    </font>
    <font>
      <sz val="12"/>
      <name val="Arial"/>
      <family val="2"/>
      <charset val="186"/>
    </font>
    <font>
      <b/>
      <strike/>
      <sz val="10"/>
      <name val="Arial"/>
      <family val="2"/>
      <charset val="186"/>
    </font>
    <font>
      <strike/>
      <sz val="10"/>
      <name val="Arial"/>
      <family val="2"/>
      <charset val="186"/>
    </font>
    <font>
      <sz val="11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/>
      <diagonal/>
    </border>
    <border>
      <left style="medium">
        <color indexed="64"/>
      </left>
      <right/>
      <top style="medium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medium">
        <color indexed="64"/>
      </left>
      <right/>
      <top/>
      <bottom style="medium">
        <color indexed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 style="medium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328">
    <xf numFmtId="0" fontId="0" fillId="0" borderId="0"/>
    <xf numFmtId="0" fontId="20" fillId="0" borderId="0"/>
    <xf numFmtId="0" fontId="25" fillId="0" borderId="0"/>
    <xf numFmtId="0" fontId="21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indent="15"/>
    </xf>
    <xf numFmtId="0" fontId="7" fillId="0" borderId="0" xfId="0" applyFont="1"/>
    <xf numFmtId="0" fontId="12" fillId="0" borderId="0" xfId="0" applyFont="1"/>
    <xf numFmtId="16" fontId="0" fillId="0" borderId="0" xfId="0" applyNumberFormat="1"/>
    <xf numFmtId="0" fontId="11" fillId="0" borderId="0" xfId="0" applyFont="1"/>
    <xf numFmtId="0" fontId="10" fillId="0" borderId="0" xfId="0" applyFont="1"/>
    <xf numFmtId="167" fontId="0" fillId="3" borderId="1" xfId="0" applyNumberFormat="1" applyFill="1" applyBorder="1"/>
    <xf numFmtId="0" fontId="9" fillId="0" borderId="0" xfId="0" applyFont="1"/>
    <xf numFmtId="0" fontId="10" fillId="0" borderId="5" xfId="9" applyBorder="1" applyAlignment="1">
      <alignment horizontal="left" vertical="center" wrapText="1"/>
    </xf>
    <xf numFmtId="167" fontId="10" fillId="0" borderId="6" xfId="0" applyNumberFormat="1" applyFont="1" applyBorder="1"/>
    <xf numFmtId="0" fontId="10" fillId="0" borderId="2" xfId="9" applyBorder="1" applyAlignment="1">
      <alignment horizontal="center" vertical="center" wrapText="1"/>
    </xf>
    <xf numFmtId="167" fontId="10" fillId="0" borderId="7" xfId="0" applyNumberFormat="1" applyFont="1" applyBorder="1"/>
    <xf numFmtId="167" fontId="10" fillId="0" borderId="3" xfId="9" applyNumberFormat="1" applyBorder="1" applyAlignment="1">
      <alignment horizontal="right" vertical="center" wrapText="1"/>
    </xf>
    <xf numFmtId="0" fontId="10" fillId="0" borderId="5" xfId="0" applyFont="1" applyBorder="1"/>
    <xf numFmtId="167" fontId="10" fillId="0" borderId="3" xfId="0" applyNumberFormat="1" applyFont="1" applyBorder="1"/>
    <xf numFmtId="0" fontId="10" fillId="0" borderId="3" xfId="9" applyBorder="1" applyAlignment="1">
      <alignment horizontal="right" vertical="center" wrapText="1"/>
    </xf>
    <xf numFmtId="0" fontId="11" fillId="0" borderId="5" xfId="0" applyFont="1" applyBorder="1"/>
    <xf numFmtId="167" fontId="11" fillId="0" borderId="6" xfId="0" applyNumberFormat="1" applyFont="1" applyBorder="1"/>
    <xf numFmtId="167" fontId="11" fillId="0" borderId="3" xfId="0" applyNumberFormat="1" applyFont="1" applyBorder="1"/>
    <xf numFmtId="167" fontId="11" fillId="0" borderId="2" xfId="0" applyNumberFormat="1" applyFont="1" applyBorder="1"/>
    <xf numFmtId="167" fontId="11" fillId="0" borderId="7" xfId="0" applyNumberFormat="1" applyFont="1" applyBorder="1"/>
    <xf numFmtId="167" fontId="11" fillId="0" borderId="1" xfId="0" applyNumberFormat="1" applyFont="1" applyBorder="1"/>
    <xf numFmtId="167" fontId="10" fillId="0" borderId="2" xfId="0" applyNumberFormat="1" applyFont="1" applyBorder="1"/>
    <xf numFmtId="167" fontId="10" fillId="0" borderId="1" xfId="0" applyNumberFormat="1" applyFont="1" applyBorder="1"/>
    <xf numFmtId="167" fontId="11" fillId="2" borderId="3" xfId="0" applyNumberFormat="1" applyFont="1" applyFill="1" applyBorder="1"/>
    <xf numFmtId="0" fontId="11" fillId="0" borderId="5" xfId="0" applyFont="1" applyBorder="1" applyAlignment="1">
      <alignment wrapText="1"/>
    </xf>
    <xf numFmtId="167" fontId="11" fillId="0" borderId="8" xfId="0" applyNumberFormat="1" applyFont="1" applyBorder="1"/>
    <xf numFmtId="167" fontId="11" fillId="0" borderId="9" xfId="0" applyNumberFormat="1" applyFont="1" applyBorder="1"/>
    <xf numFmtId="167" fontId="10" fillId="0" borderId="10" xfId="0" applyNumberFormat="1" applyFont="1" applyBorder="1"/>
    <xf numFmtId="167" fontId="11" fillId="3" borderId="7" xfId="0" applyNumberFormat="1" applyFont="1" applyFill="1" applyBorder="1"/>
    <xf numFmtId="0" fontId="14" fillId="2" borderId="5" xfId="0" applyFont="1" applyFill="1" applyBorder="1"/>
    <xf numFmtId="0" fontId="14" fillId="0" borderId="5" xfId="0" applyFont="1" applyBorder="1"/>
    <xf numFmtId="167" fontId="11" fillId="0" borderId="7" xfId="0" applyNumberFormat="1" applyFont="1" applyBorder="1" applyAlignment="1">
      <alignment vertical="top" wrapText="1"/>
    </xf>
    <xf numFmtId="0" fontId="11" fillId="0" borderId="11" xfId="0" applyFont="1" applyBorder="1"/>
    <xf numFmtId="167" fontId="11" fillId="0" borderId="12" xfId="0" applyNumberFormat="1" applyFont="1" applyBorder="1"/>
    <xf numFmtId="167" fontId="11" fillId="0" borderId="13" xfId="0" applyNumberFormat="1" applyFont="1" applyBorder="1"/>
    <xf numFmtId="167" fontId="11" fillId="0" borderId="14" xfId="0" applyNumberFormat="1" applyFont="1" applyBorder="1"/>
    <xf numFmtId="167" fontId="11" fillId="0" borderId="15" xfId="0" applyNumberFormat="1" applyFont="1" applyBorder="1"/>
    <xf numFmtId="167" fontId="11" fillId="0" borderId="16" xfId="0" applyNumberFormat="1" applyFont="1" applyBorder="1"/>
    <xf numFmtId="167" fontId="10" fillId="0" borderId="14" xfId="0" applyNumberFormat="1" applyFont="1" applyBorder="1"/>
    <xf numFmtId="167" fontId="10" fillId="0" borderId="15" xfId="0" applyNumberFormat="1" applyFont="1" applyBorder="1"/>
    <xf numFmtId="167" fontId="10" fillId="0" borderId="13" xfId="0" applyNumberFormat="1" applyFont="1" applyBorder="1"/>
    <xf numFmtId="167" fontId="10" fillId="0" borderId="16" xfId="0" applyNumberFormat="1" applyFont="1" applyBorder="1"/>
    <xf numFmtId="167" fontId="11" fillId="0" borderId="17" xfId="0" applyNumberFormat="1" applyFont="1" applyBorder="1"/>
    <xf numFmtId="0" fontId="11" fillId="0" borderId="5" xfId="0" applyFont="1" applyBorder="1" applyAlignment="1">
      <alignment horizontal="left"/>
    </xf>
    <xf numFmtId="0" fontId="11" fillId="2" borderId="5" xfId="0" applyFont="1" applyFill="1" applyBorder="1"/>
    <xf numFmtId="0" fontId="11" fillId="0" borderId="18" xfId="0" applyFont="1" applyBorder="1"/>
    <xf numFmtId="167" fontId="11" fillId="0" borderId="19" xfId="0" applyNumberFormat="1" applyFont="1" applyBorder="1"/>
    <xf numFmtId="167" fontId="11" fillId="0" borderId="20" xfId="0" applyNumberFormat="1" applyFont="1" applyBorder="1"/>
    <xf numFmtId="167" fontId="10" fillId="0" borderId="21" xfId="0" applyNumberFormat="1" applyFont="1" applyBorder="1"/>
    <xf numFmtId="167" fontId="11" fillId="0" borderId="21" xfId="0" applyNumberFormat="1" applyFont="1" applyBorder="1"/>
    <xf numFmtId="167" fontId="11" fillId="0" borderId="25" xfId="0" applyNumberFormat="1" applyFont="1" applyBorder="1"/>
    <xf numFmtId="167" fontId="11" fillId="3" borderId="26" xfId="0" applyNumberFormat="1" applyFont="1" applyFill="1" applyBorder="1"/>
    <xf numFmtId="167" fontId="11" fillId="0" borderId="27" xfId="0" applyNumberFormat="1" applyFont="1" applyBorder="1"/>
    <xf numFmtId="167" fontId="11" fillId="0" borderId="28" xfId="0" applyNumberFormat="1" applyFont="1" applyBorder="1"/>
    <xf numFmtId="167" fontId="11" fillId="0" borderId="29" xfId="0" applyNumberFormat="1" applyFont="1" applyBorder="1"/>
    <xf numFmtId="167" fontId="11" fillId="0" borderId="26" xfId="0" applyNumberFormat="1" applyFont="1" applyBorder="1"/>
    <xf numFmtId="167" fontId="11" fillId="3" borderId="29" xfId="0" applyNumberFormat="1" applyFont="1" applyFill="1" applyBorder="1"/>
    <xf numFmtId="0" fontId="17" fillId="0" borderId="0" xfId="0" applyFont="1"/>
    <xf numFmtId="0" fontId="10" fillId="0" borderId="30" xfId="9" applyBorder="1" applyAlignment="1">
      <alignment horizontal="center" vertical="center" wrapText="1"/>
    </xf>
    <xf numFmtId="0" fontId="13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8" fillId="0" borderId="23" xfId="0" applyFont="1" applyBorder="1" applyAlignment="1">
      <alignment wrapText="1"/>
    </xf>
    <xf numFmtId="167" fontId="11" fillId="0" borderId="31" xfId="0" applyNumberFormat="1" applyFont="1" applyBorder="1"/>
    <xf numFmtId="167" fontId="11" fillId="0" borderId="32" xfId="0" applyNumberFormat="1" applyFont="1" applyBorder="1"/>
    <xf numFmtId="167" fontId="11" fillId="0" borderId="24" xfId="0" applyNumberFormat="1" applyFont="1" applyBorder="1"/>
    <xf numFmtId="0" fontId="0" fillId="0" borderId="33" xfId="0" applyBorder="1" applyAlignment="1">
      <alignment vertical="top"/>
    </xf>
    <xf numFmtId="0" fontId="11" fillId="0" borderId="33" xfId="9" applyFont="1" applyBorder="1" applyAlignment="1">
      <alignment horizontal="left" vertical="center" wrapText="1"/>
    </xf>
    <xf numFmtId="167" fontId="11" fillId="0" borderId="34" xfId="0" applyNumberFormat="1" applyFont="1" applyBorder="1"/>
    <xf numFmtId="0" fontId="10" fillId="0" borderId="35" xfId="9" applyBorder="1" applyAlignment="1">
      <alignment horizontal="center" vertical="center" wrapText="1"/>
    </xf>
    <xf numFmtId="167" fontId="11" fillId="0" borderId="36" xfId="9" applyNumberFormat="1" applyFont="1" applyBorder="1" applyAlignment="1">
      <alignment horizontal="right" vertical="center" wrapText="1"/>
    </xf>
    <xf numFmtId="167" fontId="11" fillId="0" borderId="37" xfId="9" applyNumberFormat="1" applyFont="1" applyBorder="1" applyAlignment="1">
      <alignment horizontal="right" vertical="center" wrapText="1"/>
    </xf>
    <xf numFmtId="167" fontId="11" fillId="0" borderId="38" xfId="9" applyNumberFormat="1" applyFont="1" applyBorder="1" applyAlignment="1">
      <alignment horizontal="right" vertical="center" wrapText="1"/>
    </xf>
    <xf numFmtId="167" fontId="11" fillId="0" borderId="37" xfId="0" applyNumberFormat="1" applyFont="1" applyBorder="1"/>
    <xf numFmtId="167" fontId="11" fillId="0" borderId="35" xfId="0" applyNumberFormat="1" applyFont="1" applyBorder="1"/>
    <xf numFmtId="167" fontId="11" fillId="0" borderId="36" xfId="0" applyNumberFormat="1" applyFont="1" applyBorder="1"/>
    <xf numFmtId="167" fontId="11" fillId="0" borderId="38" xfId="0" applyNumberFormat="1" applyFont="1" applyBorder="1"/>
    <xf numFmtId="167" fontId="11" fillId="0" borderId="39" xfId="0" applyNumberFormat="1" applyFont="1" applyBorder="1"/>
    <xf numFmtId="167" fontId="11" fillId="0" borderId="40" xfId="0" applyNumberFormat="1" applyFont="1" applyBorder="1"/>
    <xf numFmtId="167" fontId="11" fillId="0" borderId="41" xfId="0" applyNumberFormat="1" applyFont="1" applyBorder="1"/>
    <xf numFmtId="0" fontId="11" fillId="0" borderId="33" xfId="0" applyFont="1" applyBorder="1"/>
    <xf numFmtId="0" fontId="0" fillId="0" borderId="5" xfId="0" applyBorder="1" applyAlignment="1">
      <alignment vertical="top"/>
    </xf>
    <xf numFmtId="167" fontId="0" fillId="2" borderId="3" xfId="0" applyNumberFormat="1" applyFill="1" applyBorder="1"/>
    <xf numFmtId="167" fontId="0" fillId="0" borderId="1" xfId="0" applyNumberFormat="1" applyBorder="1"/>
    <xf numFmtId="167" fontId="0" fillId="0" borderId="3" xfId="0" applyNumberFormat="1" applyBorder="1"/>
    <xf numFmtId="167" fontId="0" fillId="0" borderId="2" xfId="0" applyNumberFormat="1" applyBorder="1"/>
    <xf numFmtId="167" fontId="0" fillId="0" borderId="7" xfId="0" applyNumberFormat="1" applyBorder="1"/>
    <xf numFmtId="167" fontId="11" fillId="0" borderId="10" xfId="0" applyNumberFormat="1" applyFont="1" applyBorder="1"/>
    <xf numFmtId="167" fontId="0" fillId="0" borderId="9" xfId="0" applyNumberFormat="1" applyBorder="1"/>
    <xf numFmtId="167" fontId="16" fillId="0" borderId="7" xfId="0" applyNumberFormat="1" applyFont="1" applyBorder="1"/>
    <xf numFmtId="167" fontId="0" fillId="0" borderId="6" xfId="0" applyNumberFormat="1" applyBorder="1"/>
    <xf numFmtId="167" fontId="0" fillId="0" borderId="10" xfId="0" applyNumberFormat="1" applyBorder="1"/>
    <xf numFmtId="0" fontId="19" fillId="0" borderId="5" xfId="0" applyFont="1" applyBorder="1" applyAlignment="1">
      <alignment wrapText="1"/>
    </xf>
    <xf numFmtId="167" fontId="0" fillId="0" borderId="8" xfId="0" applyNumberFormat="1" applyBorder="1"/>
    <xf numFmtId="0" fontId="14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7" fontId="0" fillId="0" borderId="24" xfId="0" applyNumberFormat="1" applyBorder="1"/>
    <xf numFmtId="167" fontId="11" fillId="0" borderId="42" xfId="0" applyNumberFormat="1" applyFont="1" applyBorder="1"/>
    <xf numFmtId="167" fontId="0" fillId="0" borderId="35" xfId="0" applyNumberFormat="1" applyBorder="1"/>
    <xf numFmtId="167" fontId="11" fillId="0" borderId="4" xfId="0" applyNumberFormat="1" applyFont="1" applyBorder="1"/>
    <xf numFmtId="167" fontId="11" fillId="0" borderId="43" xfId="0" applyNumberFormat="1" applyFont="1" applyBorder="1"/>
    <xf numFmtId="167" fontId="0" fillId="0" borderId="44" xfId="0" applyNumberFormat="1" applyBorder="1"/>
    <xf numFmtId="167" fontId="0" fillId="0" borderId="41" xfId="0" applyNumberFormat="1" applyBorder="1"/>
    <xf numFmtId="167" fontId="11" fillId="0" borderId="45" xfId="0" applyNumberFormat="1" applyFont="1" applyBorder="1"/>
    <xf numFmtId="167" fontId="0" fillId="0" borderId="46" xfId="0" applyNumberFormat="1" applyBorder="1"/>
    <xf numFmtId="167" fontId="0" fillId="0" borderId="39" xfId="0" applyNumberFormat="1" applyBorder="1"/>
    <xf numFmtId="167" fontId="0" fillId="0" borderId="37" xfId="0" applyNumberFormat="1" applyBorder="1"/>
    <xf numFmtId="167" fontId="0" fillId="0" borderId="47" xfId="0" applyNumberFormat="1" applyBorder="1"/>
    <xf numFmtId="0" fontId="19" fillId="0" borderId="5" xfId="0" applyFont="1" applyBorder="1"/>
    <xf numFmtId="0" fontId="0" fillId="0" borderId="11" xfId="0" applyBorder="1" applyAlignment="1">
      <alignment vertical="top"/>
    </xf>
    <xf numFmtId="167" fontId="0" fillId="0" borderId="20" xfId="0" applyNumberFormat="1" applyBorder="1"/>
    <xf numFmtId="167" fontId="0" fillId="0" borderId="19" xfId="0" applyNumberFormat="1" applyBorder="1"/>
    <xf numFmtId="167" fontId="0" fillId="0" borderId="21" xfId="0" applyNumberFormat="1" applyBorder="1"/>
    <xf numFmtId="167" fontId="0" fillId="0" borderId="48" xfId="0" applyNumberFormat="1" applyBorder="1"/>
    <xf numFmtId="167" fontId="10" fillId="0" borderId="19" xfId="0" applyNumberFormat="1" applyFont="1" applyBorder="1"/>
    <xf numFmtId="167" fontId="11" fillId="3" borderId="31" xfId="0" applyNumberFormat="1" applyFont="1" applyFill="1" applyBorder="1"/>
    <xf numFmtId="167" fontId="11" fillId="3" borderId="25" xfId="0" applyNumberFormat="1" applyFont="1" applyFill="1" applyBorder="1"/>
    <xf numFmtId="167" fontId="0" fillId="0" borderId="29" xfId="0" applyNumberFormat="1" applyBorder="1"/>
    <xf numFmtId="167" fontId="0" fillId="0" borderId="25" xfId="0" applyNumberFormat="1" applyBorder="1"/>
    <xf numFmtId="0" fontId="11" fillId="0" borderId="49" xfId="0" applyFont="1" applyBorder="1" applyAlignment="1">
      <alignment wrapText="1"/>
    </xf>
    <xf numFmtId="167" fontId="11" fillId="0" borderId="50" xfId="0" applyNumberFormat="1" applyFont="1" applyBorder="1"/>
    <xf numFmtId="167" fontId="0" fillId="0" borderId="40" xfId="0" applyNumberFormat="1" applyBorder="1"/>
    <xf numFmtId="167" fontId="11" fillId="3" borderId="3" xfId="0" applyNumberFormat="1" applyFont="1" applyFill="1" applyBorder="1"/>
    <xf numFmtId="167" fontId="10" fillId="3" borderId="7" xfId="0" applyNumberFormat="1" applyFont="1" applyFill="1" applyBorder="1"/>
    <xf numFmtId="167" fontId="10" fillId="3" borderId="3" xfId="0" applyNumberFormat="1" applyFont="1" applyFill="1" applyBorder="1"/>
    <xf numFmtId="0" fontId="14" fillId="0" borderId="11" xfId="0" applyFont="1" applyBorder="1"/>
    <xf numFmtId="0" fontId="14" fillId="2" borderId="40" xfId="0" applyFont="1" applyFill="1" applyBorder="1"/>
    <xf numFmtId="0" fontId="14" fillId="2" borderId="40" xfId="0" applyFont="1" applyFill="1" applyBorder="1" applyAlignment="1">
      <alignment vertical="top" wrapText="1"/>
    </xf>
    <xf numFmtId="0" fontId="15" fillId="0" borderId="5" xfId="0" applyFont="1" applyBorder="1"/>
    <xf numFmtId="167" fontId="0" fillId="0" borderId="15" xfId="0" applyNumberFormat="1" applyBorder="1"/>
    <xf numFmtId="167" fontId="0" fillId="0" borderId="13" xfId="0" applyNumberFormat="1" applyBorder="1"/>
    <xf numFmtId="167" fontId="0" fillId="0" borderId="16" xfId="0" applyNumberFormat="1" applyBorder="1"/>
    <xf numFmtId="0" fontId="18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167" fontId="10" fillId="0" borderId="7" xfId="0" applyNumberFormat="1" applyFont="1" applyBorder="1" applyAlignment="1">
      <alignment wrapText="1"/>
    </xf>
    <xf numFmtId="167" fontId="0" fillId="0" borderId="3" xfId="0" applyNumberFormat="1" applyBorder="1" applyAlignment="1">
      <alignment wrapText="1"/>
    </xf>
    <xf numFmtId="167" fontId="11" fillId="0" borderId="3" xfId="0" applyNumberFormat="1" applyFont="1" applyBorder="1" applyAlignment="1">
      <alignment wrapText="1"/>
    </xf>
    <xf numFmtId="167" fontId="11" fillId="0" borderId="1" xfId="0" applyNumberFormat="1" applyFont="1" applyBorder="1" applyAlignment="1">
      <alignment wrapText="1"/>
    </xf>
    <xf numFmtId="167" fontId="0" fillId="0" borderId="6" xfId="0" applyNumberFormat="1" applyBorder="1" applyAlignment="1">
      <alignment wrapText="1"/>
    </xf>
    <xf numFmtId="167" fontId="0" fillId="2" borderId="3" xfId="0" applyNumberFormat="1" applyFill="1" applyBorder="1" applyAlignment="1">
      <alignment wrapText="1"/>
    </xf>
    <xf numFmtId="167" fontId="0" fillId="0" borderId="3" xfId="0" applyNumberFormat="1" applyBorder="1" applyAlignment="1">
      <alignment vertical="top" wrapText="1"/>
    </xf>
    <xf numFmtId="167" fontId="0" fillId="0" borderId="2" xfId="0" applyNumberFormat="1" applyBorder="1" applyAlignment="1">
      <alignment vertical="top" wrapText="1"/>
    </xf>
    <xf numFmtId="167" fontId="0" fillId="0" borderId="1" xfId="0" applyNumberFormat="1" applyBorder="1" applyAlignment="1">
      <alignment vertical="top" wrapText="1"/>
    </xf>
    <xf numFmtId="167" fontId="0" fillId="0" borderId="7" xfId="0" applyNumberForma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167" fontId="10" fillId="0" borderId="8" xfId="0" applyNumberFormat="1" applyFont="1" applyBorder="1"/>
    <xf numFmtId="0" fontId="10" fillId="2" borderId="11" xfId="0" applyFont="1" applyFill="1" applyBorder="1"/>
    <xf numFmtId="167" fontId="0" fillId="0" borderId="12" xfId="0" applyNumberFormat="1" applyBorder="1"/>
    <xf numFmtId="167" fontId="0" fillId="0" borderId="14" xfId="0" applyNumberFormat="1" applyBorder="1"/>
    <xf numFmtId="0" fontId="0" fillId="0" borderId="40" xfId="0" applyBorder="1" applyAlignment="1">
      <alignment vertical="top"/>
    </xf>
    <xf numFmtId="0" fontId="11" fillId="0" borderId="51" xfId="0" applyFont="1" applyBorder="1"/>
    <xf numFmtId="167" fontId="11" fillId="0" borderId="44" xfId="0" applyNumberFormat="1" applyFont="1" applyBorder="1"/>
    <xf numFmtId="167" fontId="11" fillId="0" borderId="51" xfId="0" applyNumberFormat="1" applyFont="1" applyBorder="1"/>
    <xf numFmtId="167" fontId="0" fillId="0" borderId="4" xfId="0" applyNumberFormat="1" applyBorder="1"/>
    <xf numFmtId="167" fontId="0" fillId="0" borderId="43" xfId="0" applyNumberFormat="1" applyBorder="1"/>
    <xf numFmtId="0" fontId="0" fillId="0" borderId="8" xfId="0" applyBorder="1" applyAlignment="1">
      <alignment vertical="top"/>
    </xf>
    <xf numFmtId="0" fontId="14" fillId="0" borderId="8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167" fontId="0" fillId="0" borderId="36" xfId="0" applyNumberFormat="1" applyBorder="1"/>
    <xf numFmtId="167" fontId="0" fillId="0" borderId="38" xfId="0" applyNumberFormat="1" applyBorder="1"/>
    <xf numFmtId="167" fontId="10" fillId="0" borderId="52" xfId="0" applyNumberFormat="1" applyFont="1" applyBorder="1"/>
    <xf numFmtId="167" fontId="0" fillId="0" borderId="52" xfId="0" applyNumberFormat="1" applyBorder="1"/>
    <xf numFmtId="167" fontId="0" fillId="0" borderId="53" xfId="0" applyNumberFormat="1" applyBorder="1"/>
    <xf numFmtId="167" fontId="0" fillId="0" borderId="54" xfId="0" applyNumberFormat="1" applyBorder="1"/>
    <xf numFmtId="0" fontId="11" fillId="0" borderId="23" xfId="0" applyFont="1" applyBorder="1"/>
    <xf numFmtId="0" fontId="0" fillId="0" borderId="0" xfId="0" applyAlignment="1">
      <alignment vertical="top"/>
    </xf>
    <xf numFmtId="0" fontId="8" fillId="0" borderId="0" xfId="0" applyFont="1"/>
    <xf numFmtId="0" fontId="0" fillId="3" borderId="0" xfId="0" applyFill="1"/>
    <xf numFmtId="16" fontId="8" fillId="0" borderId="0" xfId="0" applyNumberFormat="1" applyFont="1"/>
    <xf numFmtId="0" fontId="7" fillId="0" borderId="0" xfId="0" applyFont="1" applyAlignment="1">
      <alignment wrapText="1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1" fillId="0" borderId="0" xfId="0" applyFont="1" applyAlignment="1">
      <alignment wrapText="1"/>
    </xf>
    <xf numFmtId="0" fontId="6" fillId="0" borderId="27" xfId="0" applyFont="1" applyBorder="1" applyAlignment="1">
      <alignment vertical="top" wrapText="1"/>
    </xf>
    <xf numFmtId="166" fontId="6" fillId="0" borderId="56" xfId="0" applyNumberFormat="1" applyFont="1" applyBorder="1" applyAlignment="1">
      <alignment horizontal="center" vertical="top" wrapText="1"/>
    </xf>
    <xf numFmtId="0" fontId="6" fillId="0" borderId="56" xfId="0" applyFont="1" applyBorder="1" applyAlignment="1">
      <alignment vertical="top" wrapText="1"/>
    </xf>
    <xf numFmtId="0" fontId="6" fillId="0" borderId="109" xfId="0" applyFont="1" applyBorder="1" applyAlignment="1">
      <alignment vertical="top" wrapText="1"/>
    </xf>
    <xf numFmtId="0" fontId="6" fillId="0" borderId="110" xfId="0" applyFont="1" applyBorder="1" applyAlignment="1">
      <alignment vertical="top" wrapText="1"/>
    </xf>
    <xf numFmtId="0" fontId="26" fillId="0" borderId="110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3" xfId="0" applyFont="1" applyBorder="1" applyAlignment="1">
      <alignment wrapText="1"/>
    </xf>
    <xf numFmtId="0" fontId="6" fillId="0" borderId="56" xfId="0" applyFont="1" applyBorder="1" applyAlignment="1">
      <alignment horizontal="center" vertical="top" wrapText="1"/>
    </xf>
    <xf numFmtId="0" fontId="6" fillId="0" borderId="23" xfId="0" applyFont="1" applyBorder="1"/>
    <xf numFmtId="0" fontId="26" fillId="0" borderId="109" xfId="0" applyFont="1" applyBorder="1" applyAlignment="1">
      <alignment vertical="top" wrapText="1"/>
    </xf>
    <xf numFmtId="166" fontId="26" fillId="0" borderId="56" xfId="0" applyNumberFormat="1" applyFont="1" applyBorder="1" applyAlignment="1">
      <alignment horizontal="center" vertical="top" wrapText="1"/>
    </xf>
    <xf numFmtId="2" fontId="6" fillId="0" borderId="56" xfId="0" applyNumberFormat="1" applyFont="1" applyBorder="1" applyAlignment="1">
      <alignment horizontal="center" vertical="top" wrapText="1"/>
    </xf>
    <xf numFmtId="169" fontId="6" fillId="0" borderId="55" xfId="0" applyNumberFormat="1" applyFont="1" applyBorder="1" applyAlignment="1">
      <alignment horizontal="center" vertical="top" wrapText="1"/>
    </xf>
    <xf numFmtId="169" fontId="0" fillId="0" borderId="0" xfId="0" applyNumberFormat="1"/>
    <xf numFmtId="0" fontId="27" fillId="0" borderId="23" xfId="0" applyFont="1" applyBorder="1" applyAlignment="1">
      <alignment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/>
    </xf>
    <xf numFmtId="16" fontId="6" fillId="0" borderId="0" xfId="0" applyNumberFormat="1" applyFont="1"/>
    <xf numFmtId="0" fontId="6" fillId="0" borderId="51" xfId="0" applyFont="1" applyBorder="1" applyAlignment="1">
      <alignment vertical="top" wrapText="1"/>
    </xf>
    <xf numFmtId="169" fontId="6" fillId="0" borderId="51" xfId="0" applyNumberFormat="1" applyFont="1" applyBorder="1" applyAlignment="1">
      <alignment horizontal="center"/>
    </xf>
    <xf numFmtId="0" fontId="6" fillId="0" borderId="49" xfId="0" applyFont="1" applyBorder="1"/>
    <xf numFmtId="169" fontId="6" fillId="0" borderId="49" xfId="0" applyNumberFormat="1" applyFont="1" applyBorder="1" applyAlignment="1">
      <alignment horizontal="center"/>
    </xf>
    <xf numFmtId="169" fontId="10" fillId="0" borderId="0" xfId="0" applyNumberFormat="1" applyFont="1"/>
    <xf numFmtId="0" fontId="10" fillId="0" borderId="0" xfId="0" applyFont="1" applyAlignment="1">
      <alignment vertical="top"/>
    </xf>
    <xf numFmtId="14" fontId="6" fillId="0" borderId="109" xfId="0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9" fillId="0" borderId="0" xfId="0" applyFont="1"/>
    <xf numFmtId="0" fontId="10" fillId="0" borderId="0" xfId="0" applyFont="1" applyAlignment="1">
      <alignment horizontal="center"/>
    </xf>
    <xf numFmtId="0" fontId="6" fillId="0" borderId="56" xfId="0" applyFont="1" applyBorder="1" applyAlignment="1">
      <alignment vertical="center"/>
    </xf>
    <xf numFmtId="0" fontId="6" fillId="0" borderId="56" xfId="0" applyFont="1" applyBorder="1" applyAlignment="1">
      <alignment wrapText="1"/>
    </xf>
    <xf numFmtId="167" fontId="26" fillId="0" borderId="56" xfId="0" applyNumberFormat="1" applyFont="1" applyBorder="1" applyAlignment="1">
      <alignment horizontal="center" vertical="top" wrapText="1"/>
    </xf>
    <xf numFmtId="168" fontId="6" fillId="0" borderId="56" xfId="0" applyNumberFormat="1" applyFont="1" applyBorder="1" applyAlignment="1">
      <alignment horizontal="center" vertical="top" wrapText="1"/>
    </xf>
    <xf numFmtId="167" fontId="6" fillId="0" borderId="23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42" xfId="0" applyFont="1" applyBorder="1" applyAlignment="1">
      <alignment vertical="top" wrapText="1"/>
    </xf>
    <xf numFmtId="0" fontId="6" fillId="0" borderId="56" xfId="0" applyFont="1" applyBorder="1" applyAlignment="1">
      <alignment horizontal="center"/>
    </xf>
    <xf numFmtId="0" fontId="6" fillId="0" borderId="24" xfId="0" applyFont="1" applyBorder="1" applyAlignment="1">
      <alignment vertical="top" wrapText="1"/>
    </xf>
    <xf numFmtId="0" fontId="6" fillId="0" borderId="109" xfId="0" applyFont="1" applyBorder="1" applyAlignment="1">
      <alignment horizontal="center" vertical="top" wrapText="1"/>
    </xf>
    <xf numFmtId="0" fontId="6" fillId="0" borderId="110" xfId="0" applyFont="1" applyBorder="1" applyAlignment="1">
      <alignment horizontal="center" vertical="top" wrapText="1"/>
    </xf>
    <xf numFmtId="0" fontId="6" fillId="0" borderId="18" xfId="0" applyFont="1" applyBorder="1" applyAlignment="1">
      <alignment wrapText="1"/>
    </xf>
    <xf numFmtId="0" fontId="6" fillId="0" borderId="23" xfId="0" applyFont="1" applyBorder="1" applyAlignment="1">
      <alignment horizontal="center"/>
    </xf>
    <xf numFmtId="168" fontId="6" fillId="0" borderId="23" xfId="0" applyNumberFormat="1" applyFont="1" applyBorder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center"/>
    </xf>
    <xf numFmtId="167" fontId="8" fillId="0" borderId="0" xfId="0" applyNumberFormat="1" applyFont="1"/>
    <xf numFmtId="169" fontId="8" fillId="0" borderId="0" xfId="0" applyNumberFormat="1" applyFont="1"/>
    <xf numFmtId="0" fontId="30" fillId="0" borderId="0" xfId="0" applyFont="1" applyAlignment="1">
      <alignment wrapText="1"/>
    </xf>
    <xf numFmtId="0" fontId="30" fillId="3" borderId="0" xfId="0" applyFont="1" applyFill="1"/>
    <xf numFmtId="0" fontId="10" fillId="0" borderId="23" xfId="0" applyFont="1" applyBorder="1" applyAlignment="1">
      <alignment vertical="top"/>
    </xf>
    <xf numFmtId="0" fontId="10" fillId="0" borderId="68" xfId="0" applyFont="1" applyBorder="1" applyAlignment="1">
      <alignment vertical="top"/>
    </xf>
    <xf numFmtId="0" fontId="31" fillId="0" borderId="0" xfId="0" applyFont="1"/>
    <xf numFmtId="0" fontId="10" fillId="0" borderId="173" xfId="0" applyFont="1" applyBorder="1" applyAlignment="1">
      <alignment vertical="center" wrapText="1"/>
    </xf>
    <xf numFmtId="16" fontId="10" fillId="0" borderId="0" xfId="0" applyNumberFormat="1" applyFont="1"/>
    <xf numFmtId="0" fontId="10" fillId="0" borderId="73" xfId="0" applyFont="1" applyBorder="1" applyAlignment="1">
      <alignment vertical="top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191" xfId="32" applyFont="1" applyBorder="1" applyAlignment="1">
      <alignment horizontal="center" vertical="center"/>
    </xf>
    <xf numFmtId="0" fontId="22" fillId="0" borderId="191" xfId="32" applyFont="1" applyBorder="1" applyAlignment="1">
      <alignment horizontal="center" vertical="center"/>
    </xf>
    <xf numFmtId="0" fontId="22" fillId="0" borderId="191" xfId="32" applyFont="1" applyBorder="1" applyAlignment="1">
      <alignment horizontal="center" vertical="center" wrapText="1"/>
    </xf>
    <xf numFmtId="0" fontId="22" fillId="0" borderId="191" xfId="32" applyFont="1" applyBorder="1" applyAlignment="1">
      <alignment horizontal="left" vertical="center" wrapText="1"/>
    </xf>
    <xf numFmtId="169" fontId="22" fillId="0" borderId="191" xfId="32" applyNumberFormat="1" applyFont="1" applyBorder="1" applyAlignment="1">
      <alignment horizontal="center" vertical="center"/>
    </xf>
    <xf numFmtId="169" fontId="22" fillId="0" borderId="191" xfId="32" applyNumberFormat="1" applyFont="1" applyBorder="1" applyAlignment="1">
      <alignment horizontal="center" vertical="center" wrapText="1"/>
    </xf>
    <xf numFmtId="49" fontId="22" fillId="0" borderId="191" xfId="32" applyNumberFormat="1" applyFont="1" applyBorder="1" applyAlignment="1">
      <alignment horizontal="center" vertical="center"/>
    </xf>
    <xf numFmtId="168" fontId="22" fillId="0" borderId="191" xfId="32" applyNumberFormat="1" applyFont="1" applyBorder="1" applyAlignment="1">
      <alignment horizontal="center" vertical="center"/>
    </xf>
    <xf numFmtId="169" fontId="6" fillId="0" borderId="173" xfId="2" applyNumberFormat="1" applyFont="1" applyBorder="1" applyAlignment="1">
      <alignment horizontal="center" vertical="center"/>
    </xf>
    <xf numFmtId="169" fontId="6" fillId="0" borderId="173" xfId="2" applyNumberFormat="1" applyFont="1" applyBorder="1" applyAlignment="1">
      <alignment horizontal="center" vertical="center" wrapText="1"/>
    </xf>
    <xf numFmtId="169" fontId="22" fillId="0" borderId="191" xfId="2" applyNumberFormat="1" applyFont="1" applyBorder="1" applyAlignment="1">
      <alignment horizontal="center" vertical="center" wrapText="1"/>
    </xf>
    <xf numFmtId="169" fontId="22" fillId="0" borderId="191" xfId="2" applyNumberFormat="1" applyFont="1" applyBorder="1" applyAlignment="1">
      <alignment horizontal="center" vertical="center"/>
    </xf>
    <xf numFmtId="0" fontId="8" fillId="0" borderId="192" xfId="32" applyFont="1" applyBorder="1" applyAlignment="1">
      <alignment horizontal="center" vertical="center"/>
    </xf>
    <xf numFmtId="0" fontId="22" fillId="0" borderId="192" xfId="32" applyFont="1" applyBorder="1" applyAlignment="1">
      <alignment horizontal="center" vertical="center"/>
    </xf>
    <xf numFmtId="0" fontId="22" fillId="0" borderId="192" xfId="32" applyFont="1" applyBorder="1" applyAlignment="1">
      <alignment horizontal="left" vertical="center" wrapText="1"/>
    </xf>
    <xf numFmtId="0" fontId="22" fillId="0" borderId="192" xfId="32" applyFont="1" applyBorder="1" applyAlignment="1">
      <alignment horizontal="center" vertical="center" wrapText="1"/>
    </xf>
    <xf numFmtId="169" fontId="22" fillId="0" borderId="192" xfId="2" applyNumberFormat="1" applyFont="1" applyBorder="1" applyAlignment="1">
      <alignment horizontal="center" vertical="center" wrapText="1"/>
    </xf>
    <xf numFmtId="169" fontId="22" fillId="0" borderId="192" xfId="2" applyNumberFormat="1" applyFont="1" applyBorder="1" applyAlignment="1">
      <alignment horizontal="center" vertical="center"/>
    </xf>
    <xf numFmtId="169" fontId="22" fillId="0" borderId="192" xfId="19" applyNumberFormat="1" applyFont="1" applyFill="1" applyBorder="1" applyAlignment="1">
      <alignment horizontal="center" vertical="center" wrapText="1"/>
    </xf>
    <xf numFmtId="0" fontId="22" fillId="0" borderId="195" xfId="32" applyFont="1" applyBorder="1" applyAlignment="1">
      <alignment horizontal="center" vertical="center"/>
    </xf>
    <xf numFmtId="0" fontId="22" fillId="0" borderId="195" xfId="32" applyFont="1" applyBorder="1" applyAlignment="1">
      <alignment horizontal="left" vertical="center" wrapText="1"/>
    </xf>
    <xf numFmtId="169" fontId="6" fillId="0" borderId="0" xfId="2" applyNumberFormat="1" applyFont="1" applyAlignment="1">
      <alignment horizontal="center" vertical="center" wrapText="1"/>
    </xf>
    <xf numFmtId="0" fontId="22" fillId="0" borderId="196" xfId="32" applyFont="1" applyBorder="1" applyAlignment="1">
      <alignment horizontal="center" vertical="center"/>
    </xf>
    <xf numFmtId="0" fontId="22" fillId="0" borderId="173" xfId="32" applyFont="1" applyBorder="1" applyAlignment="1">
      <alignment horizontal="center" vertical="center"/>
    </xf>
    <xf numFmtId="0" fontId="22" fillId="0" borderId="173" xfId="32" applyFont="1" applyBorder="1" applyAlignment="1">
      <alignment horizontal="left" vertical="center" wrapText="1"/>
    </xf>
    <xf numFmtId="0" fontId="22" fillId="0" borderId="197" xfId="32" applyFont="1" applyBorder="1" applyAlignment="1">
      <alignment horizontal="center" vertical="center" wrapText="1"/>
    </xf>
    <xf numFmtId="169" fontId="6" fillId="0" borderId="0" xfId="2" applyNumberFormat="1" applyFont="1" applyAlignment="1">
      <alignment horizontal="center" vertical="center"/>
    </xf>
    <xf numFmtId="170" fontId="6" fillId="0" borderId="173" xfId="0" applyNumberFormat="1" applyFont="1" applyBorder="1" applyAlignment="1">
      <alignment vertical="center"/>
    </xf>
    <xf numFmtId="0" fontId="6" fillId="0" borderId="173" xfId="0" applyFont="1" applyBorder="1" applyAlignment="1">
      <alignment vertical="center"/>
    </xf>
    <xf numFmtId="0" fontId="22" fillId="0" borderId="194" xfId="32" applyFont="1" applyBorder="1" applyAlignment="1">
      <alignment horizontal="center" vertical="center"/>
    </xf>
    <xf numFmtId="169" fontId="22" fillId="0" borderId="173" xfId="2" applyNumberFormat="1" applyFont="1" applyBorder="1" applyAlignment="1">
      <alignment horizontal="center" vertical="center" wrapText="1"/>
    </xf>
    <xf numFmtId="169" fontId="22" fillId="0" borderId="173" xfId="2" applyNumberFormat="1" applyFont="1" applyBorder="1" applyAlignment="1">
      <alignment horizontal="center" vertical="center"/>
    </xf>
    <xf numFmtId="169" fontId="22" fillId="0" borderId="173" xfId="34" applyNumberFormat="1" applyFont="1" applyFill="1" applyBorder="1" applyAlignment="1">
      <alignment vertical="center" wrapText="1"/>
    </xf>
    <xf numFmtId="169" fontId="6" fillId="0" borderId="191" xfId="32" applyNumberFormat="1" applyFont="1" applyBorder="1" applyAlignment="1">
      <alignment horizontal="center" vertical="center" wrapText="1"/>
    </xf>
    <xf numFmtId="4" fontId="22" fillId="0" borderId="191" xfId="32" applyNumberFormat="1" applyFont="1" applyBorder="1" applyAlignment="1">
      <alignment horizontal="center" vertical="center" wrapText="1"/>
    </xf>
    <xf numFmtId="168" fontId="22" fillId="0" borderId="191" xfId="2" applyNumberFormat="1" applyFont="1" applyBorder="1" applyAlignment="1">
      <alignment horizontal="center" vertical="center" wrapText="1"/>
    </xf>
    <xf numFmtId="169" fontId="6" fillId="0" borderId="0" xfId="0" applyNumberFormat="1" applyFont="1" applyAlignment="1">
      <alignment vertical="center"/>
    </xf>
    <xf numFmtId="0" fontId="8" fillId="0" borderId="173" xfId="32" applyFont="1" applyBorder="1" applyAlignment="1">
      <alignment horizontal="center" vertical="center"/>
    </xf>
    <xf numFmtId="0" fontId="22" fillId="0" borderId="173" xfId="32" applyFont="1" applyBorder="1" applyAlignment="1">
      <alignment horizontal="center" vertical="center" wrapText="1"/>
    </xf>
    <xf numFmtId="169" fontId="22" fillId="0" borderId="173" xfId="32" applyNumberFormat="1" applyFont="1" applyBorder="1" applyAlignment="1">
      <alignment horizontal="center" vertical="center" wrapText="1"/>
    </xf>
    <xf numFmtId="169" fontId="22" fillId="0" borderId="173" xfId="32" applyNumberFormat="1" applyFont="1" applyBorder="1" applyAlignment="1">
      <alignment horizontal="center" vertical="center"/>
    </xf>
    <xf numFmtId="0" fontId="22" fillId="0" borderId="191" xfId="32" applyFont="1" applyBorder="1" applyAlignment="1">
      <alignment horizontal="left" wrapText="1"/>
    </xf>
    <xf numFmtId="0" fontId="22" fillId="0" borderId="191" xfId="2" applyFont="1" applyBorder="1" applyAlignment="1">
      <alignment horizontal="left" vertical="center" wrapText="1"/>
    </xf>
    <xf numFmtId="0" fontId="22" fillId="0" borderId="180" xfId="32" applyFont="1" applyBorder="1" applyAlignment="1">
      <alignment horizontal="center" vertical="center"/>
    </xf>
    <xf numFmtId="0" fontId="22" fillId="0" borderId="180" xfId="32" applyFont="1" applyBorder="1" applyAlignment="1">
      <alignment horizontal="left" vertical="center" wrapText="1"/>
    </xf>
    <xf numFmtId="0" fontId="22" fillId="0" borderId="180" xfId="32" applyFont="1" applyBorder="1" applyAlignment="1">
      <alignment horizontal="center" vertical="center" wrapText="1"/>
    </xf>
    <xf numFmtId="169" fontId="22" fillId="0" borderId="192" xfId="32" applyNumberFormat="1" applyFont="1" applyBorder="1" applyAlignment="1">
      <alignment horizontal="center" vertical="center"/>
    </xf>
    <xf numFmtId="169" fontId="22" fillId="0" borderId="180" xfId="2" applyNumberFormat="1" applyFont="1" applyBorder="1" applyAlignment="1">
      <alignment horizontal="center" vertical="center" wrapText="1"/>
    </xf>
    <xf numFmtId="169" fontId="22" fillId="0" borderId="180" xfId="2" applyNumberFormat="1" applyFont="1" applyBorder="1" applyAlignment="1">
      <alignment horizontal="center" vertical="center"/>
    </xf>
    <xf numFmtId="169" fontId="22" fillId="0" borderId="180" xfId="19" applyNumberFormat="1" applyFont="1" applyFill="1" applyBorder="1" applyAlignment="1">
      <alignment vertical="center" wrapText="1"/>
    </xf>
    <xf numFmtId="169" fontId="22" fillId="0" borderId="173" xfId="19" applyNumberFormat="1" applyFont="1" applyFill="1" applyBorder="1" applyAlignment="1">
      <alignment vertical="center" wrapText="1"/>
    </xf>
    <xf numFmtId="0" fontId="22" fillId="0" borderId="194" xfId="32" applyFont="1" applyBorder="1" applyAlignment="1">
      <alignment horizontal="center" vertical="center" wrapText="1"/>
    </xf>
    <xf numFmtId="0" fontId="22" fillId="0" borderId="194" xfId="2" applyFont="1" applyBorder="1" applyAlignment="1">
      <alignment horizontal="left" vertical="center" wrapText="1"/>
    </xf>
    <xf numFmtId="169" fontId="22" fillId="0" borderId="194" xfId="32" applyNumberFormat="1" applyFont="1" applyBorder="1" applyAlignment="1">
      <alignment horizontal="center" vertical="center"/>
    </xf>
    <xf numFmtId="169" fontId="22" fillId="0" borderId="194" xfId="2" applyNumberFormat="1" applyFont="1" applyBorder="1" applyAlignment="1">
      <alignment horizontal="center" vertical="center" wrapText="1"/>
    </xf>
    <xf numFmtId="169" fontId="22" fillId="0" borderId="194" xfId="2" applyNumberFormat="1" applyFont="1" applyBorder="1" applyAlignment="1">
      <alignment horizontal="center" vertical="center"/>
    </xf>
    <xf numFmtId="169" fontId="22" fillId="0" borderId="194" xfId="19" applyNumberFormat="1" applyFont="1" applyFill="1" applyBorder="1" applyAlignment="1">
      <alignment vertical="center" wrapText="1"/>
    </xf>
    <xf numFmtId="169" fontId="22" fillId="0" borderId="191" xfId="19" applyNumberFormat="1" applyFont="1" applyFill="1" applyBorder="1" applyAlignment="1">
      <alignment horizontal="center" vertical="center" wrapText="1"/>
    </xf>
    <xf numFmtId="0" fontId="10" fillId="0" borderId="195" xfId="0" applyFont="1" applyBorder="1" applyAlignment="1">
      <alignment vertical="center" wrapText="1"/>
    </xf>
    <xf numFmtId="169" fontId="22" fillId="0" borderId="180" xfId="33" applyNumberFormat="1" applyFont="1" applyFill="1" applyBorder="1" applyAlignment="1">
      <alignment vertical="center" wrapText="1"/>
    </xf>
    <xf numFmtId="0" fontId="8" fillId="0" borderId="180" xfId="32" applyFont="1" applyBorder="1" applyAlignment="1">
      <alignment horizontal="center" vertical="center"/>
    </xf>
    <xf numFmtId="0" fontId="10" fillId="0" borderId="201" xfId="0" applyFont="1" applyBorder="1" applyAlignment="1">
      <alignment vertical="center" wrapText="1"/>
    </xf>
    <xf numFmtId="169" fontId="22" fillId="0" borderId="180" xfId="34" applyNumberFormat="1" applyFont="1" applyFill="1" applyBorder="1" applyAlignment="1">
      <alignment vertical="center" wrapText="1"/>
    </xf>
    <xf numFmtId="0" fontId="8" fillId="3" borderId="37" xfId="32" applyFont="1" applyFill="1" applyBorder="1"/>
    <xf numFmtId="0" fontId="8" fillId="3" borderId="0" xfId="32" applyFont="1" applyFill="1"/>
    <xf numFmtId="0" fontId="30" fillId="3" borderId="177" xfId="32" applyFont="1" applyFill="1" applyBorder="1" applyAlignment="1">
      <alignment horizontal="center"/>
    </xf>
    <xf numFmtId="169" fontId="23" fillId="0" borderId="194" xfId="32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0" fillId="0" borderId="73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30" fillId="0" borderId="191" xfId="32" applyFont="1" applyBorder="1" applyAlignment="1">
      <alignment horizontal="center" vertical="center" wrapText="1"/>
    </xf>
    <xf numFmtId="0" fontId="30" fillId="0" borderId="191" xfId="32" applyFont="1" applyBorder="1" applyAlignment="1">
      <alignment horizontal="center" vertical="center"/>
    </xf>
    <xf numFmtId="0" fontId="8" fillId="0" borderId="202" xfId="32" applyFont="1" applyBorder="1" applyAlignment="1">
      <alignment horizontal="center" vertical="center"/>
    </xf>
    <xf numFmtId="0" fontId="10" fillId="0" borderId="180" xfId="0" applyFont="1" applyBorder="1" applyAlignment="1">
      <alignment vertical="center" wrapText="1"/>
    </xf>
    <xf numFmtId="0" fontId="22" fillId="0" borderId="37" xfId="32" applyFont="1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4" borderId="68" xfId="0" applyFont="1" applyFill="1" applyBorder="1" applyAlignment="1">
      <alignment vertical="top"/>
    </xf>
    <xf numFmtId="0" fontId="7" fillId="0" borderId="109" xfId="0" applyFont="1" applyBorder="1" applyAlignment="1">
      <alignment vertical="top" wrapText="1"/>
    </xf>
    <xf numFmtId="0" fontId="7" fillId="0" borderId="110" xfId="0" applyFont="1" applyBorder="1" applyAlignment="1">
      <alignment vertical="top" wrapText="1"/>
    </xf>
    <xf numFmtId="166" fontId="7" fillId="0" borderId="56" xfId="0" applyNumberFormat="1" applyFont="1" applyBorder="1" applyAlignment="1">
      <alignment horizontal="center" vertical="top" wrapText="1"/>
    </xf>
    <xf numFmtId="169" fontId="7" fillId="0" borderId="56" xfId="0" applyNumberFormat="1" applyFont="1" applyBorder="1" applyAlignment="1">
      <alignment horizontal="center" vertical="top" wrapText="1"/>
    </xf>
    <xf numFmtId="168" fontId="26" fillId="0" borderId="56" xfId="0" applyNumberFormat="1" applyFont="1" applyBorder="1" applyAlignment="1">
      <alignment horizontal="center" vertical="top" wrapText="1"/>
    </xf>
    <xf numFmtId="0" fontId="26" fillId="0" borderId="23" xfId="0" applyFont="1" applyBorder="1" applyAlignment="1">
      <alignment vertical="top" wrapText="1"/>
    </xf>
    <xf numFmtId="0" fontId="26" fillId="0" borderId="23" xfId="0" applyFont="1" applyBorder="1" applyAlignment="1">
      <alignment wrapText="1"/>
    </xf>
    <xf numFmtId="167" fontId="26" fillId="0" borderId="23" xfId="0" applyNumberFormat="1" applyFont="1" applyBorder="1" applyAlignment="1">
      <alignment horizontal="center" vertical="top" wrapText="1"/>
    </xf>
    <xf numFmtId="0" fontId="26" fillId="0" borderId="56" xfId="0" applyFont="1" applyBorder="1" applyAlignment="1">
      <alignment vertical="top" wrapText="1"/>
    </xf>
    <xf numFmtId="0" fontId="6" fillId="0" borderId="203" xfId="0" applyFont="1" applyBorder="1"/>
    <xf numFmtId="168" fontId="7" fillId="0" borderId="56" xfId="0" applyNumberFormat="1" applyFont="1" applyBorder="1" applyAlignment="1">
      <alignment horizontal="center" vertical="top" wrapText="1"/>
    </xf>
    <xf numFmtId="0" fontId="7" fillId="0" borderId="24" xfId="0" applyFont="1" applyBorder="1" applyAlignment="1">
      <alignment vertical="top" wrapText="1"/>
    </xf>
    <xf numFmtId="0" fontId="7" fillId="0" borderId="25" xfId="0" applyFont="1" applyBorder="1" applyAlignment="1">
      <alignment wrapText="1"/>
    </xf>
    <xf numFmtId="166" fontId="7" fillId="0" borderId="23" xfId="0" applyNumberFormat="1" applyFont="1" applyBorder="1" applyAlignment="1">
      <alignment horizontal="center" vertical="top" wrapText="1"/>
    </xf>
    <xf numFmtId="0" fontId="6" fillId="0" borderId="122" xfId="0" applyFont="1" applyBorder="1" applyAlignment="1">
      <alignment vertical="top" wrapText="1"/>
    </xf>
    <xf numFmtId="169" fontId="6" fillId="0" borderId="122" xfId="0" applyNumberFormat="1" applyFont="1" applyBorder="1" applyAlignment="1">
      <alignment horizontal="center"/>
    </xf>
    <xf numFmtId="0" fontId="7" fillId="0" borderId="31" xfId="0" applyFont="1" applyBorder="1"/>
    <xf numFmtId="0" fontId="7" fillId="0" borderId="25" xfId="0" applyFont="1" applyBorder="1"/>
    <xf numFmtId="0" fontId="7" fillId="0" borderId="25" xfId="0" applyFont="1" applyBorder="1" applyAlignment="1">
      <alignment vertical="top" wrapText="1"/>
    </xf>
    <xf numFmtId="169" fontId="7" fillId="0" borderId="26" xfId="0" applyNumberFormat="1" applyFont="1" applyBorder="1" applyAlignment="1">
      <alignment horizontal="center"/>
    </xf>
    <xf numFmtId="0" fontId="7" fillId="0" borderId="109" xfId="0" applyFont="1" applyBorder="1" applyAlignment="1">
      <alignment vertical="center" wrapText="1"/>
    </xf>
    <xf numFmtId="0" fontId="7" fillId="0" borderId="109" xfId="0" applyFont="1" applyBorder="1" applyAlignment="1">
      <alignment horizontal="center" vertical="center" wrapText="1"/>
    </xf>
    <xf numFmtId="0" fontId="6" fillId="0" borderId="109" xfId="0" applyFont="1" applyBorder="1" applyAlignment="1">
      <alignment vertical="center" wrapText="1"/>
    </xf>
    <xf numFmtId="0" fontId="6" fillId="0" borderId="109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35" fillId="0" borderId="109" xfId="0" applyFont="1" applyBorder="1" applyAlignment="1">
      <alignment vertical="center" wrapText="1"/>
    </xf>
    <xf numFmtId="167" fontId="7" fillId="0" borderId="109" xfId="0" applyNumberFormat="1" applyFont="1" applyBorder="1" applyAlignment="1">
      <alignment horizontal="center" vertical="center" wrapText="1"/>
    </xf>
    <xf numFmtId="168" fontId="7" fillId="0" borderId="109" xfId="0" applyNumberFormat="1" applyFont="1" applyBorder="1" applyAlignment="1">
      <alignment horizontal="center" vertical="center"/>
    </xf>
    <xf numFmtId="166" fontId="6" fillId="0" borderId="109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169" fontId="7" fillId="0" borderId="109" xfId="0" applyNumberFormat="1" applyFont="1" applyBorder="1" applyAlignment="1">
      <alignment horizontal="center" vertical="center"/>
    </xf>
    <xf numFmtId="0" fontId="6" fillId="0" borderId="109" xfId="0" applyFont="1" applyBorder="1" applyAlignment="1">
      <alignment wrapText="1"/>
    </xf>
    <xf numFmtId="0" fontId="7" fillId="0" borderId="109" xfId="0" applyFont="1" applyBorder="1" applyAlignment="1">
      <alignment wrapText="1"/>
    </xf>
    <xf numFmtId="167" fontId="7" fillId="0" borderId="109" xfId="0" applyNumberFormat="1" applyFont="1" applyBorder="1" applyAlignment="1">
      <alignment horizontal="center"/>
    </xf>
    <xf numFmtId="167" fontId="6" fillId="0" borderId="109" xfId="0" applyNumberFormat="1" applyFont="1" applyBorder="1" applyAlignment="1">
      <alignment horizontal="center"/>
    </xf>
    <xf numFmtId="169" fontId="7" fillId="0" borderId="109" xfId="0" applyNumberFormat="1" applyFont="1" applyBorder="1" applyAlignment="1">
      <alignment horizontal="center"/>
    </xf>
    <xf numFmtId="0" fontId="7" fillId="0" borderId="109" xfId="0" applyFont="1" applyBorder="1" applyAlignment="1">
      <alignment horizontal="center"/>
    </xf>
    <xf numFmtId="0" fontId="6" fillId="0" borderId="109" xfId="0" applyFont="1" applyBorder="1" applyAlignment="1">
      <alignment horizontal="center"/>
    </xf>
    <xf numFmtId="166" fontId="7" fillId="0" borderId="109" xfId="0" applyNumberFormat="1" applyFont="1" applyBorder="1" applyAlignment="1">
      <alignment horizontal="center" vertical="center" wrapText="1"/>
    </xf>
    <xf numFmtId="0" fontId="6" fillId="0" borderId="31" xfId="0" applyFont="1" applyBorder="1"/>
    <xf numFmtId="0" fontId="7" fillId="0" borderId="28" xfId="0" applyFont="1" applyBorder="1"/>
    <xf numFmtId="169" fontId="7" fillId="0" borderId="23" xfId="0" applyNumberFormat="1" applyFont="1" applyBorder="1" applyAlignment="1">
      <alignment horizontal="center"/>
    </xf>
    <xf numFmtId="0" fontId="11" fillId="0" borderId="103" xfId="9" applyFont="1" applyBorder="1" applyAlignment="1">
      <alignment horizontal="center" vertical="center" wrapText="1"/>
    </xf>
    <xf numFmtId="0" fontId="11" fillId="0" borderId="104" xfId="9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0" fontId="11" fillId="0" borderId="51" xfId="9" applyFont="1" applyBorder="1" applyAlignment="1">
      <alignment horizontal="left" vertical="center" wrapText="1"/>
    </xf>
    <xf numFmtId="167" fontId="11" fillId="0" borderId="4" xfId="9" applyNumberFormat="1" applyFont="1" applyBorder="1" applyAlignment="1">
      <alignment horizontal="right" vertical="center" wrapText="1"/>
    </xf>
    <xf numFmtId="167" fontId="11" fillId="0" borderId="46" xfId="9" applyNumberFormat="1" applyFont="1" applyBorder="1" applyAlignment="1">
      <alignment horizontal="right" vertical="center" wrapText="1"/>
    </xf>
    <xf numFmtId="0" fontId="10" fillId="0" borderId="50" xfId="0" applyFont="1" applyBorder="1"/>
    <xf numFmtId="0" fontId="10" fillId="0" borderId="46" xfId="0" applyFont="1" applyBorder="1"/>
    <xf numFmtId="0" fontId="10" fillId="0" borderId="8" xfId="0" applyFont="1" applyBorder="1" applyAlignment="1">
      <alignment horizontal="right" vertical="center" wrapText="1"/>
    </xf>
    <xf numFmtId="0" fontId="10" fillId="0" borderId="125" xfId="0" applyFont="1" applyBorder="1"/>
    <xf numFmtId="0" fontId="10" fillId="0" borderId="126" xfId="0" applyFont="1" applyBorder="1"/>
    <xf numFmtId="169" fontId="11" fillId="0" borderId="7" xfId="0" applyNumberFormat="1" applyFont="1" applyBorder="1" applyAlignment="1">
      <alignment horizontal="right"/>
    </xf>
    <xf numFmtId="169" fontId="11" fillId="0" borderId="7" xfId="0" applyNumberFormat="1" applyFont="1" applyBorder="1"/>
    <xf numFmtId="167" fontId="11" fillId="0" borderId="170" xfId="0" applyNumberFormat="1" applyFont="1" applyBorder="1"/>
    <xf numFmtId="167" fontId="11" fillId="0" borderId="164" xfId="0" applyNumberFormat="1" applyFont="1" applyBorder="1"/>
    <xf numFmtId="169" fontId="10" fillId="0" borderId="7" xfId="0" applyNumberFormat="1" applyFont="1" applyBorder="1" applyAlignment="1">
      <alignment horizontal="right"/>
    </xf>
    <xf numFmtId="167" fontId="10" fillId="0" borderId="60" xfId="0" applyNumberFormat="1" applyFont="1" applyBorder="1"/>
    <xf numFmtId="167" fontId="10" fillId="0" borderId="61" xfId="0" applyNumberFormat="1" applyFont="1" applyBorder="1"/>
    <xf numFmtId="169" fontId="10" fillId="0" borderId="7" xfId="0" applyNumberFormat="1" applyFont="1" applyBorder="1"/>
    <xf numFmtId="167" fontId="10" fillId="0" borderId="123" xfId="0" applyNumberFormat="1" applyFont="1" applyBorder="1"/>
    <xf numFmtId="167" fontId="10" fillId="0" borderId="125" xfId="0" applyNumberFormat="1" applyFont="1" applyBorder="1"/>
    <xf numFmtId="167" fontId="10" fillId="0" borderId="126" xfId="0" applyNumberFormat="1" applyFont="1" applyBorder="1"/>
    <xf numFmtId="167" fontId="10" fillId="0" borderId="7" xfId="0" applyNumberFormat="1" applyFont="1" applyBorder="1" applyAlignment="1">
      <alignment horizontal="right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wrapText="1"/>
    </xf>
    <xf numFmtId="167" fontId="11" fillId="0" borderId="7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 vertical="center" wrapText="1"/>
    </xf>
    <xf numFmtId="169" fontId="11" fillId="0" borderId="124" xfId="0" applyNumberFormat="1" applyFont="1" applyBorder="1" applyAlignment="1">
      <alignment horizontal="right"/>
    </xf>
    <xf numFmtId="167" fontId="11" fillId="0" borderId="164" xfId="0" applyNumberFormat="1" applyFont="1" applyBorder="1" applyAlignment="1">
      <alignment horizontal="right"/>
    </xf>
    <xf numFmtId="169" fontId="11" fillId="0" borderId="124" xfId="0" applyNumberFormat="1" applyFont="1" applyBorder="1"/>
    <xf numFmtId="167" fontId="10" fillId="0" borderId="124" xfId="0" applyNumberFormat="1" applyFont="1" applyBorder="1" applyAlignment="1">
      <alignment horizontal="right"/>
    </xf>
    <xf numFmtId="167" fontId="10" fillId="0" borderId="164" xfId="0" applyNumberFormat="1" applyFont="1" applyBorder="1" applyAlignment="1">
      <alignment horizontal="right"/>
    </xf>
    <xf numFmtId="167" fontId="10" fillId="0" borderId="7" xfId="0" applyNumberFormat="1" applyFont="1" applyBorder="1" applyAlignment="1">
      <alignment vertical="top"/>
    </xf>
    <xf numFmtId="167" fontId="10" fillId="0" borderId="1" xfId="0" applyNumberFormat="1" applyFont="1" applyBorder="1" applyAlignment="1">
      <alignment vertical="top"/>
    </xf>
    <xf numFmtId="167" fontId="10" fillId="0" borderId="123" xfId="0" applyNumberFormat="1" applyFont="1" applyBorder="1" applyAlignment="1">
      <alignment vertical="top"/>
    </xf>
    <xf numFmtId="0" fontId="10" fillId="0" borderId="125" xfId="0" applyFont="1" applyBorder="1" applyAlignment="1">
      <alignment vertical="top"/>
    </xf>
    <xf numFmtId="0" fontId="10" fillId="0" borderId="126" xfId="0" applyFont="1" applyBorder="1" applyAlignment="1">
      <alignment vertical="top"/>
    </xf>
    <xf numFmtId="0" fontId="10" fillId="0" borderId="175" xfId="0" applyFont="1" applyBorder="1" applyAlignment="1">
      <alignment wrapText="1"/>
    </xf>
    <xf numFmtId="169" fontId="10" fillId="0" borderId="7" xfId="0" applyNumberFormat="1" applyFont="1" applyBorder="1" applyAlignment="1">
      <alignment vertical="top"/>
    </xf>
    <xf numFmtId="0" fontId="10" fillId="0" borderId="164" xfId="0" applyFont="1" applyBorder="1" applyAlignment="1">
      <alignment wrapText="1"/>
    </xf>
    <xf numFmtId="0" fontId="11" fillId="0" borderId="33" xfId="0" applyFont="1" applyBorder="1" applyAlignment="1">
      <alignment wrapText="1"/>
    </xf>
    <xf numFmtId="167" fontId="10" fillId="0" borderId="9" xfId="0" applyNumberFormat="1" applyFont="1" applyBorder="1"/>
    <xf numFmtId="168" fontId="10" fillId="0" borderId="7" xfId="0" applyNumberFormat="1" applyFont="1" applyBorder="1"/>
    <xf numFmtId="167" fontId="11" fillId="0" borderId="124" xfId="0" applyNumberFormat="1" applyFont="1" applyBorder="1"/>
    <xf numFmtId="0" fontId="10" fillId="0" borderId="122" xfId="0" applyFont="1" applyBorder="1" applyAlignment="1">
      <alignment wrapText="1"/>
    </xf>
    <xf numFmtId="0" fontId="14" fillId="0" borderId="122" xfId="0" applyFont="1" applyBorder="1" applyAlignment="1">
      <alignment wrapText="1"/>
    </xf>
    <xf numFmtId="169" fontId="10" fillId="0" borderId="1" xfId="0" applyNumberFormat="1" applyFont="1" applyBorder="1"/>
    <xf numFmtId="167" fontId="10" fillId="0" borderId="163" xfId="0" applyNumberFormat="1" applyFont="1" applyBorder="1"/>
    <xf numFmtId="168" fontId="10" fillId="0" borderId="172" xfId="0" applyNumberFormat="1" applyFont="1" applyBorder="1"/>
    <xf numFmtId="167" fontId="10" fillId="0" borderId="68" xfId="0" applyNumberFormat="1" applyFont="1" applyBorder="1"/>
    <xf numFmtId="167" fontId="10" fillId="0" borderId="164" xfId="0" applyNumberFormat="1" applyFont="1" applyBorder="1"/>
    <xf numFmtId="167" fontId="10" fillId="0" borderId="124" xfId="0" applyNumberFormat="1" applyFont="1" applyBorder="1"/>
    <xf numFmtId="167" fontId="10" fillId="0" borderId="170" xfId="0" applyNumberFormat="1" applyFont="1" applyBorder="1"/>
    <xf numFmtId="0" fontId="10" fillId="0" borderId="163" xfId="0" applyFont="1" applyBorder="1"/>
    <xf numFmtId="0" fontId="10" fillId="0" borderId="164" xfId="0" applyFont="1" applyBorder="1"/>
    <xf numFmtId="0" fontId="10" fillId="0" borderId="62" xfId="0" applyFont="1" applyBorder="1" applyAlignment="1">
      <alignment wrapText="1"/>
    </xf>
    <xf numFmtId="0" fontId="11" fillId="0" borderId="33" xfId="0" applyFont="1" applyBorder="1" applyAlignment="1">
      <alignment vertical="top" wrapText="1"/>
    </xf>
    <xf numFmtId="167" fontId="11" fillId="0" borderId="123" xfId="0" applyNumberFormat="1" applyFont="1" applyBorder="1"/>
    <xf numFmtId="167" fontId="11" fillId="0" borderId="3" xfId="4" applyNumberFormat="1" applyFont="1" applyBorder="1"/>
    <xf numFmtId="167" fontId="11" fillId="0" borderId="1" xfId="4" applyNumberFormat="1" applyFont="1" applyBorder="1"/>
    <xf numFmtId="0" fontId="11" fillId="0" borderId="73" xfId="0" applyFont="1" applyBorder="1" applyAlignment="1">
      <alignment wrapText="1"/>
    </xf>
    <xf numFmtId="167" fontId="11" fillId="0" borderId="163" xfId="0" applyNumberFormat="1" applyFont="1" applyBorder="1"/>
    <xf numFmtId="0" fontId="11" fillId="0" borderId="122" xfId="0" applyFont="1" applyBorder="1"/>
    <xf numFmtId="0" fontId="10" fillId="0" borderId="56" xfId="0" applyFont="1" applyBorder="1"/>
    <xf numFmtId="169" fontId="11" fillId="0" borderId="74" xfId="0" applyNumberFormat="1" applyFont="1" applyBorder="1"/>
    <xf numFmtId="167" fontId="11" fillId="0" borderId="76" xfId="0" applyNumberFormat="1" applyFont="1" applyBorder="1"/>
    <xf numFmtId="167" fontId="11" fillId="0" borderId="120" xfId="0" applyNumberFormat="1" applyFont="1" applyBorder="1"/>
    <xf numFmtId="168" fontId="11" fillId="0" borderId="120" xfId="0" applyNumberFormat="1" applyFont="1" applyBorder="1"/>
    <xf numFmtId="167" fontId="11" fillId="0" borderId="208" xfId="0" applyNumberFormat="1" applyFont="1" applyBorder="1"/>
    <xf numFmtId="0" fontId="10" fillId="0" borderId="36" xfId="0" applyFont="1" applyBorder="1"/>
    <xf numFmtId="0" fontId="10" fillId="0" borderId="38" xfId="0" applyFont="1" applyBorder="1"/>
    <xf numFmtId="0" fontId="11" fillId="0" borderId="62" xfId="0" applyFont="1" applyBorder="1"/>
    <xf numFmtId="0" fontId="11" fillId="0" borderId="62" xfId="0" applyFont="1" applyBorder="1" applyAlignment="1">
      <alignment wrapText="1"/>
    </xf>
    <xf numFmtId="0" fontId="11" fillId="0" borderId="49" xfId="0" applyFont="1" applyBorder="1"/>
    <xf numFmtId="169" fontId="11" fillId="0" borderId="1" xfId="0" applyNumberFormat="1" applyFont="1" applyBorder="1"/>
    <xf numFmtId="168" fontId="11" fillId="0" borderId="7" xfId="0" applyNumberFormat="1" applyFont="1" applyBorder="1"/>
    <xf numFmtId="168" fontId="11" fillId="0" borderId="1" xfId="0" applyNumberFormat="1" applyFont="1" applyBorder="1"/>
    <xf numFmtId="167" fontId="11" fillId="0" borderId="15" xfId="0" applyNumberFormat="1" applyFont="1" applyBorder="1" applyAlignment="1">
      <alignment horizontal="right" wrapText="1"/>
    </xf>
    <xf numFmtId="167" fontId="11" fillId="0" borderId="134" xfId="0" applyNumberFormat="1" applyFont="1" applyBorder="1"/>
    <xf numFmtId="0" fontId="10" fillId="0" borderId="136" xfId="0" applyFont="1" applyBorder="1"/>
    <xf numFmtId="0" fontId="10" fillId="0" borderId="128" xfId="0" applyFont="1" applyBorder="1"/>
    <xf numFmtId="0" fontId="10" fillId="0" borderId="127" xfId="0" applyFont="1" applyBorder="1" applyAlignment="1">
      <alignment horizontal="right" vertical="center" wrapText="1"/>
    </xf>
    <xf numFmtId="0" fontId="11" fillId="0" borderId="23" xfId="0" applyFont="1" applyBorder="1" applyAlignment="1">
      <alignment horizontal="left"/>
    </xf>
    <xf numFmtId="167" fontId="11" fillId="0" borderId="81" xfId="0" applyNumberFormat="1" applyFont="1" applyBorder="1"/>
    <xf numFmtId="167" fontId="11" fillId="0" borderId="99" xfId="0" applyNumberFormat="1" applyFont="1" applyBorder="1"/>
    <xf numFmtId="0" fontId="10" fillId="0" borderId="31" xfId="0" applyFont="1" applyBorder="1"/>
    <xf numFmtId="0" fontId="10" fillId="0" borderId="26" xfId="0" applyFont="1" applyBorder="1"/>
    <xf numFmtId="0" fontId="10" fillId="0" borderId="23" xfId="0" applyFont="1" applyBorder="1" applyAlignment="1">
      <alignment horizontal="right" vertical="center" wrapText="1"/>
    </xf>
    <xf numFmtId="169" fontId="11" fillId="0" borderId="31" xfId="0" applyNumberFormat="1" applyFont="1" applyBorder="1"/>
    <xf numFmtId="0" fontId="10" fillId="0" borderId="103" xfId="9" applyBorder="1" applyAlignment="1">
      <alignment horizontal="center" vertical="center" wrapText="1"/>
    </xf>
    <xf numFmtId="0" fontId="10" fillId="0" borderId="104" xfId="9" applyBorder="1" applyAlignment="1">
      <alignment horizontal="center" vertical="center" wrapText="1"/>
    </xf>
    <xf numFmtId="0" fontId="10" fillId="0" borderId="133" xfId="9" applyBorder="1" applyAlignment="1">
      <alignment horizontal="center" vertical="center" wrapText="1"/>
    </xf>
    <xf numFmtId="0" fontId="10" fillId="0" borderId="135" xfId="9" applyBorder="1" applyAlignment="1">
      <alignment horizontal="center" vertical="center" wrapText="1"/>
    </xf>
    <xf numFmtId="0" fontId="10" fillId="0" borderId="128" xfId="9" applyBorder="1" applyAlignment="1">
      <alignment horizontal="center" vertical="center" wrapText="1"/>
    </xf>
    <xf numFmtId="0" fontId="10" fillId="0" borderId="50" xfId="9" applyBorder="1" applyAlignment="1">
      <alignment horizontal="center" vertical="center" wrapText="1"/>
    </xf>
    <xf numFmtId="0" fontId="10" fillId="0" borderId="46" xfId="9" applyBorder="1" applyAlignment="1">
      <alignment horizontal="center" vertical="center" wrapText="1"/>
    </xf>
    <xf numFmtId="0" fontId="10" fillId="0" borderId="45" xfId="9" applyBorder="1" applyAlignment="1">
      <alignment horizontal="center" vertical="center" wrapText="1"/>
    </xf>
    <xf numFmtId="0" fontId="10" fillId="0" borderId="7" xfId="9" applyBorder="1" applyAlignment="1">
      <alignment horizontal="right" vertical="center" wrapText="1"/>
    </xf>
    <xf numFmtId="167" fontId="10" fillId="0" borderId="1" xfId="9" applyNumberFormat="1" applyBorder="1" applyAlignment="1">
      <alignment horizontal="right" vertical="center" wrapText="1"/>
    </xf>
    <xf numFmtId="0" fontId="10" fillId="0" borderId="7" xfId="9" applyBorder="1" applyAlignment="1">
      <alignment horizontal="center" vertical="center" wrapText="1"/>
    </xf>
    <xf numFmtId="0" fontId="10" fillId="0" borderId="1" xfId="9" applyBorder="1" applyAlignment="1">
      <alignment horizontal="center" vertical="center" wrapText="1"/>
    </xf>
    <xf numFmtId="0" fontId="10" fillId="0" borderId="123" xfId="9" applyBorder="1" applyAlignment="1">
      <alignment horizontal="center" vertical="center" wrapText="1"/>
    </xf>
    <xf numFmtId="167" fontId="10" fillId="0" borderId="7" xfId="9" applyNumberFormat="1" applyBorder="1" applyAlignment="1">
      <alignment horizontal="right" vertical="center" wrapText="1"/>
    </xf>
    <xf numFmtId="167" fontId="10" fillId="0" borderId="3" xfId="4" applyNumberFormat="1" applyBorder="1"/>
    <xf numFmtId="167" fontId="10" fillId="0" borderId="1" xfId="4" applyNumberFormat="1" applyBorder="1"/>
    <xf numFmtId="0" fontId="10" fillId="0" borderId="78" xfId="9" applyBorder="1" applyAlignment="1">
      <alignment vertical="top" wrapText="1"/>
    </xf>
    <xf numFmtId="0" fontId="10" fillId="0" borderId="122" xfId="9" applyBorder="1" applyAlignment="1">
      <alignment vertical="top" wrapText="1"/>
    </xf>
    <xf numFmtId="0" fontId="11" fillId="0" borderId="113" xfId="0" applyFont="1" applyBorder="1" applyAlignment="1">
      <alignment horizontal="center" vertical="center" wrapText="1"/>
    </xf>
    <xf numFmtId="0" fontId="11" fillId="0" borderId="114" xfId="0" applyFont="1" applyBorder="1" applyAlignment="1">
      <alignment horizontal="center" vertical="center" wrapText="1"/>
    </xf>
    <xf numFmtId="0" fontId="10" fillId="0" borderId="113" xfId="0" applyFont="1" applyBorder="1" applyAlignment="1">
      <alignment horizontal="center" vertical="center" wrapText="1"/>
    </xf>
    <xf numFmtId="0" fontId="10" fillId="0" borderId="114" xfId="0" applyFont="1" applyBorder="1" applyAlignment="1">
      <alignment horizontal="center" vertical="center" wrapText="1"/>
    </xf>
    <xf numFmtId="0" fontId="10" fillId="0" borderId="115" xfId="0" applyFont="1" applyBorder="1" applyAlignment="1">
      <alignment horizontal="center" vertical="center" wrapText="1"/>
    </xf>
    <xf numFmtId="0" fontId="10" fillId="0" borderId="137" xfId="0" applyFont="1" applyBorder="1" applyAlignment="1">
      <alignment horizontal="center" vertical="center" wrapText="1"/>
    </xf>
    <xf numFmtId="169" fontId="11" fillId="0" borderId="111" xfId="0" applyNumberFormat="1" applyFont="1" applyBorder="1"/>
    <xf numFmtId="167" fontId="11" fillId="0" borderId="112" xfId="0" applyNumberFormat="1" applyFont="1" applyBorder="1"/>
    <xf numFmtId="167" fontId="11" fillId="0" borderId="111" xfId="0" applyNumberFormat="1" applyFont="1" applyBorder="1"/>
    <xf numFmtId="167" fontId="11" fillId="0" borderId="75" xfId="0" applyNumberFormat="1" applyFont="1" applyBorder="1"/>
    <xf numFmtId="167" fontId="11" fillId="0" borderId="110" xfId="0" applyNumberFormat="1" applyFont="1" applyBorder="1"/>
    <xf numFmtId="0" fontId="11" fillId="0" borderId="31" xfId="0" applyFont="1" applyBorder="1"/>
    <xf numFmtId="0" fontId="11" fillId="0" borderId="116" xfId="0" applyFont="1" applyBorder="1" applyAlignment="1">
      <alignment horizontal="left" vertical="center" wrapText="1"/>
    </xf>
    <xf numFmtId="167" fontId="11" fillId="0" borderId="63" xfId="0" applyNumberFormat="1" applyFont="1" applyBorder="1"/>
    <xf numFmtId="167" fontId="11" fillId="0" borderId="177" xfId="0" applyNumberFormat="1" applyFont="1" applyBorder="1"/>
    <xf numFmtId="167" fontId="11" fillId="0" borderId="146" xfId="0" applyNumberFormat="1" applyFont="1" applyBorder="1" applyAlignment="1">
      <alignment horizontal="right" vertical="center" wrapText="1"/>
    </xf>
    <xf numFmtId="167" fontId="11" fillId="0" borderId="176" xfId="0" applyNumberFormat="1" applyFont="1" applyBorder="1" applyAlignment="1">
      <alignment horizontal="right" vertical="center" wrapText="1"/>
    </xf>
    <xf numFmtId="168" fontId="11" fillId="0" borderId="63" xfId="0" applyNumberFormat="1" applyFont="1" applyBorder="1"/>
    <xf numFmtId="168" fontId="11" fillId="0" borderId="64" xfId="0" applyNumberFormat="1" applyFont="1" applyBorder="1"/>
    <xf numFmtId="168" fontId="11" fillId="0" borderId="58" xfId="0" applyNumberFormat="1" applyFont="1" applyBorder="1"/>
    <xf numFmtId="168" fontId="11" fillId="0" borderId="118" xfId="0" applyNumberFormat="1" applyFont="1" applyBorder="1"/>
    <xf numFmtId="0" fontId="10" fillId="0" borderId="181" xfId="0" applyFont="1" applyBorder="1"/>
    <xf numFmtId="167" fontId="10" fillId="0" borderId="159" xfId="0" applyNumberFormat="1" applyFont="1" applyBorder="1"/>
    <xf numFmtId="167" fontId="10" fillId="0" borderId="169" xfId="0" applyNumberFormat="1" applyFont="1" applyBorder="1"/>
    <xf numFmtId="167" fontId="10" fillId="0" borderId="159" xfId="0" applyNumberFormat="1" applyFont="1" applyBorder="1" applyAlignment="1">
      <alignment horizontal="right" vertical="center" wrapText="1"/>
    </xf>
    <xf numFmtId="167" fontId="10" fillId="0" borderId="160" xfId="0" applyNumberFormat="1" applyFont="1" applyBorder="1" applyAlignment="1">
      <alignment horizontal="right" vertical="center" wrapText="1"/>
    </xf>
    <xf numFmtId="0" fontId="11" fillId="0" borderId="117" xfId="0" applyFont="1" applyBorder="1"/>
    <xf numFmtId="169" fontId="10" fillId="0" borderId="159" xfId="0" applyNumberFormat="1" applyFont="1" applyBorder="1"/>
    <xf numFmtId="167" fontId="11" fillId="0" borderId="118" xfId="0" applyNumberFormat="1" applyFont="1" applyBorder="1"/>
    <xf numFmtId="167" fontId="11" fillId="0" borderId="64" xfId="0" applyNumberFormat="1" applyFont="1" applyBorder="1"/>
    <xf numFmtId="169" fontId="11" fillId="0" borderId="159" xfId="0" applyNumberFormat="1" applyFont="1" applyBorder="1"/>
    <xf numFmtId="167" fontId="11" fillId="0" borderId="160" xfId="0" applyNumberFormat="1" applyFont="1" applyBorder="1"/>
    <xf numFmtId="0" fontId="11" fillId="0" borderId="163" xfId="0" applyFont="1" applyBorder="1"/>
    <xf numFmtId="167" fontId="10" fillId="0" borderId="160" xfId="0" applyNumberFormat="1" applyFont="1" applyBorder="1"/>
    <xf numFmtId="168" fontId="10" fillId="0" borderId="159" xfId="0" applyNumberFormat="1" applyFont="1" applyBorder="1"/>
    <xf numFmtId="168" fontId="10" fillId="0" borderId="160" xfId="0" applyNumberFormat="1" applyFont="1" applyBorder="1"/>
    <xf numFmtId="168" fontId="10" fillId="0" borderId="157" xfId="0" applyNumberFormat="1" applyFont="1" applyBorder="1"/>
    <xf numFmtId="168" fontId="10" fillId="0" borderId="169" xfId="0" applyNumberFormat="1" applyFont="1" applyBorder="1"/>
    <xf numFmtId="0" fontId="10" fillId="0" borderId="181" xfId="0" applyFont="1" applyBorder="1" applyAlignment="1">
      <alignment horizontal="left" vertical="center" wrapText="1"/>
    </xf>
    <xf numFmtId="167" fontId="10" fillId="0" borderId="144" xfId="0" applyNumberFormat="1" applyFont="1" applyBorder="1"/>
    <xf numFmtId="167" fontId="10" fillId="0" borderId="155" xfId="0" applyNumberFormat="1" applyFont="1" applyBorder="1"/>
    <xf numFmtId="0" fontId="10" fillId="0" borderId="122" xfId="0" applyFont="1" applyBorder="1" applyAlignment="1">
      <alignment vertical="top" wrapText="1"/>
    </xf>
    <xf numFmtId="167" fontId="10" fillId="0" borderId="163" xfId="0" applyNumberFormat="1" applyFont="1" applyBorder="1" applyAlignment="1">
      <alignment horizontal="right"/>
    </xf>
    <xf numFmtId="168" fontId="10" fillId="0" borderId="170" xfId="0" applyNumberFormat="1" applyFont="1" applyBorder="1"/>
    <xf numFmtId="168" fontId="10" fillId="0" borderId="163" xfId="0" applyNumberFormat="1" applyFont="1" applyBorder="1"/>
    <xf numFmtId="0" fontId="11" fillId="0" borderId="181" xfId="0" applyFont="1" applyBorder="1"/>
    <xf numFmtId="167" fontId="11" fillId="0" borderId="159" xfId="0" applyNumberFormat="1" applyFont="1" applyBorder="1"/>
    <xf numFmtId="167" fontId="11" fillId="0" borderId="169" xfId="0" applyNumberFormat="1" applyFont="1" applyBorder="1"/>
    <xf numFmtId="167" fontId="11" fillId="0" borderId="161" xfId="0" applyNumberFormat="1" applyFont="1" applyBorder="1"/>
    <xf numFmtId="167" fontId="10" fillId="0" borderId="157" xfId="0" applyNumberFormat="1" applyFont="1" applyBorder="1"/>
    <xf numFmtId="167" fontId="11" fillId="0" borderId="130" xfId="0" applyNumberFormat="1" applyFont="1" applyBorder="1"/>
    <xf numFmtId="167" fontId="10" fillId="0" borderId="129" xfId="0" applyNumberFormat="1" applyFont="1" applyBorder="1"/>
    <xf numFmtId="167" fontId="11" fillId="0" borderId="131" xfId="0" applyNumberFormat="1" applyFont="1" applyBorder="1"/>
    <xf numFmtId="168" fontId="11" fillId="0" borderId="138" xfId="0" applyNumberFormat="1" applyFont="1" applyBorder="1"/>
    <xf numFmtId="167" fontId="10" fillId="0" borderId="160" xfId="0" applyNumberFormat="1" applyFont="1" applyBorder="1" applyAlignment="1">
      <alignment horizontal="center"/>
    </xf>
    <xf numFmtId="167" fontId="10" fillId="0" borderId="58" xfId="0" applyNumberFormat="1" applyFont="1" applyBorder="1"/>
    <xf numFmtId="167" fontId="10" fillId="0" borderId="178" xfId="0" applyNumberFormat="1" applyFont="1" applyBorder="1"/>
    <xf numFmtId="0" fontId="11" fillId="0" borderId="181" xfId="0" applyFont="1" applyBorder="1" applyAlignment="1">
      <alignment vertical="top" wrapText="1"/>
    </xf>
    <xf numFmtId="0" fontId="10" fillId="0" borderId="181" xfId="0" applyFont="1" applyBorder="1" applyAlignment="1">
      <alignment vertical="top" wrapText="1"/>
    </xf>
    <xf numFmtId="0" fontId="10" fillId="0" borderId="181" xfId="0" applyFont="1" applyBorder="1" applyAlignment="1">
      <alignment wrapText="1"/>
    </xf>
    <xf numFmtId="0" fontId="10" fillId="0" borderId="182" xfId="0" applyFont="1" applyBorder="1"/>
    <xf numFmtId="167" fontId="10" fillId="0" borderId="161" xfId="0" applyNumberFormat="1" applyFont="1" applyBorder="1"/>
    <xf numFmtId="167" fontId="10" fillId="0" borderId="139" xfId="0" applyNumberFormat="1" applyFont="1" applyBorder="1"/>
    <xf numFmtId="0" fontId="11" fillId="0" borderId="124" xfId="0" applyFont="1" applyBorder="1" applyAlignment="1">
      <alignment vertical="top" wrapText="1"/>
    </xf>
    <xf numFmtId="167" fontId="10" fillId="0" borderId="130" xfId="0" applyNumberFormat="1" applyFont="1" applyBorder="1"/>
    <xf numFmtId="167" fontId="10" fillId="0" borderId="0" xfId="0" applyNumberFormat="1" applyFont="1"/>
    <xf numFmtId="167" fontId="10" fillId="0" borderId="73" xfId="0" applyNumberFormat="1" applyFont="1" applyBorder="1"/>
    <xf numFmtId="0" fontId="11" fillId="0" borderId="122" xfId="0" applyFont="1" applyBorder="1" applyAlignment="1">
      <alignment wrapText="1"/>
    </xf>
    <xf numFmtId="169" fontId="11" fillId="0" borderId="163" xfId="0" applyNumberFormat="1" applyFont="1" applyBorder="1"/>
    <xf numFmtId="169" fontId="10" fillId="0" borderId="183" xfId="0" applyNumberFormat="1" applyFont="1" applyBorder="1"/>
    <xf numFmtId="167" fontId="11" fillId="0" borderId="0" xfId="0" applyNumberFormat="1" applyFont="1"/>
    <xf numFmtId="169" fontId="10" fillId="0" borderId="73" xfId="0" applyNumberFormat="1" applyFont="1" applyBorder="1"/>
    <xf numFmtId="167" fontId="11" fillId="0" borderId="157" xfId="0" applyNumberFormat="1" applyFont="1" applyBorder="1"/>
    <xf numFmtId="0" fontId="11" fillId="0" borderId="184" xfId="0" applyFont="1" applyBorder="1"/>
    <xf numFmtId="167" fontId="11" fillId="0" borderId="139" xfId="0" applyNumberFormat="1" applyFont="1" applyBorder="1"/>
    <xf numFmtId="167" fontId="11" fillId="0" borderId="165" xfId="0" applyNumberFormat="1" applyFont="1" applyBorder="1"/>
    <xf numFmtId="167" fontId="11" fillId="0" borderId="166" xfId="0" applyNumberFormat="1" applyFont="1" applyBorder="1"/>
    <xf numFmtId="167" fontId="11" fillId="0" borderId="162" xfId="0" applyNumberFormat="1" applyFont="1" applyBorder="1"/>
    <xf numFmtId="167" fontId="11" fillId="0" borderId="185" xfId="0" applyNumberFormat="1" applyFont="1" applyBorder="1"/>
    <xf numFmtId="167" fontId="11" fillId="0" borderId="186" xfId="0" applyNumberFormat="1" applyFont="1" applyBorder="1"/>
    <xf numFmtId="167" fontId="11" fillId="0" borderId="129" xfId="0" applyNumberFormat="1" applyFont="1" applyBorder="1"/>
    <xf numFmtId="167" fontId="10" fillId="0" borderId="136" xfId="0" applyNumberFormat="1" applyFont="1" applyBorder="1"/>
    <xf numFmtId="167" fontId="10" fillId="0" borderId="128" xfId="0" applyNumberFormat="1" applyFont="1" applyBorder="1"/>
    <xf numFmtId="0" fontId="11" fillId="0" borderId="119" xfId="0" applyFont="1" applyBorder="1" applyAlignment="1">
      <alignment wrapText="1"/>
    </xf>
    <xf numFmtId="167" fontId="11" fillId="0" borderId="102" xfId="0" applyNumberFormat="1" applyFont="1" applyBorder="1"/>
    <xf numFmtId="167" fontId="11" fillId="0" borderId="69" xfId="0" applyNumberFormat="1" applyFont="1" applyBorder="1"/>
    <xf numFmtId="167" fontId="11" fillId="0" borderId="71" xfId="0" applyNumberFormat="1" applyFont="1" applyBorder="1"/>
    <xf numFmtId="167" fontId="11" fillId="0" borderId="72" xfId="0" applyNumberFormat="1" applyFont="1" applyBorder="1"/>
    <xf numFmtId="167" fontId="11" fillId="0" borderId="167" xfId="0" applyNumberFormat="1" applyFont="1" applyBorder="1"/>
    <xf numFmtId="167" fontId="11" fillId="0" borderId="206" xfId="0" applyNumberFormat="1" applyFont="1" applyBorder="1"/>
    <xf numFmtId="167" fontId="11" fillId="0" borderId="207" xfId="0" applyNumberFormat="1" applyFont="1" applyBorder="1"/>
    <xf numFmtId="167" fontId="10" fillId="0" borderId="31" xfId="0" applyNumberFormat="1" applyFont="1" applyBorder="1"/>
    <xf numFmtId="167" fontId="10" fillId="0" borderId="26" xfId="0" applyNumberFormat="1" applyFont="1" applyBorder="1"/>
    <xf numFmtId="0" fontId="11" fillId="0" borderId="68" xfId="0" applyFont="1" applyBorder="1"/>
    <xf numFmtId="167" fontId="11" fillId="0" borderId="77" xfId="0" applyNumberFormat="1" applyFont="1" applyBorder="1"/>
    <xf numFmtId="167" fontId="11" fillId="0" borderId="59" xfId="0" applyNumberFormat="1" applyFont="1" applyBorder="1"/>
    <xf numFmtId="167" fontId="11" fillId="0" borderId="58" xfId="0" applyNumberFormat="1" applyFont="1" applyBorder="1"/>
    <xf numFmtId="167" fontId="11" fillId="0" borderId="156" xfId="0" applyNumberFormat="1" applyFont="1" applyBorder="1"/>
    <xf numFmtId="167" fontId="11" fillId="0" borderId="168" xfId="0" applyNumberFormat="1" applyFont="1" applyBorder="1"/>
    <xf numFmtId="167" fontId="10" fillId="0" borderId="77" xfId="0" applyNumberFormat="1" applyFont="1" applyBorder="1"/>
    <xf numFmtId="167" fontId="10" fillId="0" borderId="59" xfId="0" applyNumberFormat="1" applyFont="1" applyBorder="1"/>
    <xf numFmtId="167" fontId="10" fillId="0" borderId="36" xfId="0" applyNumberFormat="1" applyFont="1" applyBorder="1"/>
    <xf numFmtId="167" fontId="10" fillId="0" borderId="38" xfId="0" applyNumberFormat="1" applyFont="1" applyBorder="1"/>
    <xf numFmtId="0" fontId="10" fillId="0" borderId="144" xfId="0" applyFont="1" applyBorder="1" applyAlignment="1">
      <alignment wrapText="1"/>
    </xf>
    <xf numFmtId="0" fontId="10" fillId="0" borderId="144" xfId="0" applyFont="1" applyBorder="1"/>
    <xf numFmtId="167" fontId="10" fillId="0" borderId="131" xfId="0" applyNumberFormat="1" applyFont="1" applyBorder="1"/>
    <xf numFmtId="0" fontId="10" fillId="0" borderId="124" xfId="0" applyFont="1" applyBorder="1" applyAlignment="1">
      <alignment wrapText="1"/>
    </xf>
    <xf numFmtId="0" fontId="10" fillId="0" borderId="127" xfId="0" applyFont="1" applyBorder="1" applyAlignment="1">
      <alignment wrapText="1"/>
    </xf>
    <xf numFmtId="167" fontId="10" fillId="0" borderId="148" xfId="0" applyNumberFormat="1" applyFont="1" applyBorder="1"/>
    <xf numFmtId="167" fontId="10" fillId="0" borderId="154" xfId="0" applyNumberFormat="1" applyFont="1" applyBorder="1"/>
    <xf numFmtId="167" fontId="10" fillId="0" borderId="39" xfId="0" applyNumberFormat="1" applyFont="1" applyBorder="1"/>
    <xf numFmtId="0" fontId="10" fillId="0" borderId="124" xfId="0" applyFont="1" applyBorder="1" applyAlignment="1">
      <alignment vertical="top" wrapText="1"/>
    </xf>
    <xf numFmtId="167" fontId="10" fillId="0" borderId="127" xfId="0" applyNumberFormat="1" applyFont="1" applyBorder="1"/>
    <xf numFmtId="167" fontId="10" fillId="0" borderId="149" xfId="0" applyNumberFormat="1" applyFont="1" applyBorder="1"/>
    <xf numFmtId="167" fontId="10" fillId="0" borderId="134" xfId="0" applyNumberFormat="1" applyFont="1" applyBorder="1"/>
    <xf numFmtId="167" fontId="10" fillId="0" borderId="162" xfId="0" applyNumberFormat="1" applyFont="1" applyBorder="1"/>
    <xf numFmtId="169" fontId="10" fillId="0" borderId="131" xfId="0" applyNumberFormat="1" applyFont="1" applyBorder="1"/>
    <xf numFmtId="167" fontId="10" fillId="0" borderId="34" xfId="0" applyNumberFormat="1" applyFont="1" applyBorder="1"/>
    <xf numFmtId="167" fontId="10" fillId="0" borderId="35" xfId="0" applyNumberFormat="1" applyFont="1" applyBorder="1"/>
    <xf numFmtId="167" fontId="10" fillId="0" borderId="153" xfId="0" applyNumberFormat="1" applyFont="1" applyBorder="1"/>
    <xf numFmtId="0" fontId="11" fillId="0" borderId="144" xfId="0" applyFont="1" applyBorder="1"/>
    <xf numFmtId="167" fontId="11" fillId="0" borderId="138" xfId="0" applyNumberFormat="1" applyFont="1" applyBorder="1"/>
    <xf numFmtId="167" fontId="11" fillId="0" borderId="155" xfId="0" applyNumberFormat="1" applyFont="1" applyBorder="1"/>
    <xf numFmtId="0" fontId="11" fillId="0" borderId="124" xfId="0" applyFont="1" applyBorder="1" applyAlignment="1">
      <alignment wrapText="1"/>
    </xf>
    <xf numFmtId="0" fontId="11" fillId="0" borderId="144" xfId="0" applyFont="1" applyBorder="1" applyAlignment="1">
      <alignment vertical="center"/>
    </xf>
    <xf numFmtId="169" fontId="11" fillId="0" borderId="144" xfId="0" applyNumberFormat="1" applyFont="1" applyBorder="1"/>
    <xf numFmtId="169" fontId="11" fillId="0" borderId="160" xfId="0" applyNumberFormat="1" applyFont="1" applyBorder="1"/>
    <xf numFmtId="169" fontId="11" fillId="0" borderId="157" xfId="0" applyNumberFormat="1" applyFont="1" applyBorder="1"/>
    <xf numFmtId="169" fontId="11" fillId="0" borderId="169" xfId="0" applyNumberFormat="1" applyFont="1" applyBorder="1"/>
    <xf numFmtId="169" fontId="10" fillId="0" borderId="160" xfId="0" applyNumberFormat="1" applyFont="1" applyBorder="1"/>
    <xf numFmtId="169" fontId="11" fillId="0" borderId="131" xfId="0" applyNumberFormat="1" applyFont="1" applyBorder="1"/>
    <xf numFmtId="169" fontId="11" fillId="0" borderId="170" xfId="0" applyNumberFormat="1" applyFont="1" applyBorder="1"/>
    <xf numFmtId="167" fontId="11" fillId="0" borderId="148" xfId="0" applyNumberFormat="1" applyFont="1" applyBorder="1"/>
    <xf numFmtId="167" fontId="11" fillId="0" borderId="73" xfId="0" applyNumberFormat="1" applyFont="1" applyBorder="1"/>
    <xf numFmtId="167" fontId="11" fillId="0" borderId="172" xfId="0" applyNumberFormat="1" applyFont="1" applyBorder="1"/>
    <xf numFmtId="167" fontId="10" fillId="0" borderId="165" xfId="0" applyNumberFormat="1" applyFont="1" applyBorder="1"/>
    <xf numFmtId="167" fontId="10" fillId="0" borderId="166" xfId="0" applyNumberFormat="1" applyFont="1" applyBorder="1"/>
    <xf numFmtId="167" fontId="11" fillId="0" borderId="158" xfId="0" applyNumberFormat="1" applyFont="1" applyBorder="1"/>
    <xf numFmtId="167" fontId="11" fillId="0" borderId="171" xfId="0" applyNumberFormat="1" applyFont="1" applyBorder="1"/>
    <xf numFmtId="0" fontId="11" fillId="0" borderId="70" xfId="0" applyFont="1" applyBorder="1" applyAlignment="1">
      <alignment wrapText="1"/>
    </xf>
    <xf numFmtId="167" fontId="11" fillId="0" borderId="204" xfId="0" applyNumberFormat="1" applyFont="1" applyBorder="1"/>
    <xf numFmtId="167" fontId="11" fillId="0" borderId="205" xfId="0" applyNumberFormat="1" applyFont="1" applyBorder="1"/>
    <xf numFmtId="167" fontId="10" fillId="0" borderId="24" xfId="0" applyNumberFormat="1" applyFont="1" applyBorder="1"/>
    <xf numFmtId="167" fontId="10" fillId="0" borderId="65" xfId="0" applyNumberFormat="1" applyFont="1" applyBorder="1"/>
    <xf numFmtId="167" fontId="10" fillId="0" borderId="66" xfId="0" applyNumberFormat="1" applyFont="1" applyBorder="1"/>
    <xf numFmtId="167" fontId="10" fillId="0" borderId="63" xfId="0" applyNumberFormat="1" applyFont="1" applyBorder="1"/>
    <xf numFmtId="167" fontId="10" fillId="0" borderId="64" xfId="0" applyNumberFormat="1" applyFont="1" applyBorder="1"/>
    <xf numFmtId="167" fontId="10" fillId="0" borderId="118" xfId="0" applyNumberFormat="1" applyFont="1" applyBorder="1"/>
    <xf numFmtId="0" fontId="10" fillId="0" borderId="124" xfId="0" applyFont="1" applyBorder="1"/>
    <xf numFmtId="0" fontId="14" fillId="0" borderId="124" xfId="0" applyFont="1" applyBorder="1" applyAlignment="1">
      <alignment wrapText="1"/>
    </xf>
    <xf numFmtId="0" fontId="11" fillId="0" borderId="144" xfId="0" applyFont="1" applyBorder="1" applyAlignment="1">
      <alignment wrapText="1"/>
    </xf>
    <xf numFmtId="0" fontId="11" fillId="0" borderId="145" xfId="0" applyFont="1" applyBorder="1"/>
    <xf numFmtId="0" fontId="11" fillId="0" borderId="29" xfId="0" applyFont="1" applyBorder="1" applyAlignment="1">
      <alignment horizontal="left" vertical="center" wrapText="1"/>
    </xf>
    <xf numFmtId="169" fontId="11" fillId="0" borderId="71" xfId="0" applyNumberFormat="1" applyFont="1" applyBorder="1"/>
    <xf numFmtId="169" fontId="11" fillId="0" borderId="27" xfId="0" applyNumberFormat="1" applyFont="1" applyBorder="1"/>
    <xf numFmtId="169" fontId="11" fillId="0" borderId="29" xfId="0" applyNumberFormat="1" applyFont="1" applyBorder="1"/>
    <xf numFmtId="168" fontId="11" fillId="0" borderId="29" xfId="0" applyNumberFormat="1" applyFont="1" applyBorder="1"/>
    <xf numFmtId="168" fontId="11" fillId="0" borderId="26" xfId="0" applyNumberFormat="1" applyFont="1" applyBorder="1"/>
    <xf numFmtId="0" fontId="11" fillId="0" borderId="4" xfId="0" applyFont="1" applyBorder="1"/>
    <xf numFmtId="169" fontId="11" fillId="0" borderId="4" xfId="0" applyNumberFormat="1" applyFont="1" applyBorder="1"/>
    <xf numFmtId="167" fontId="11" fillId="0" borderId="46" xfId="0" applyNumberFormat="1" applyFont="1" applyBorder="1"/>
    <xf numFmtId="167" fontId="11" fillId="0" borderId="80" xfId="0" applyNumberFormat="1" applyFont="1" applyBorder="1"/>
    <xf numFmtId="168" fontId="11" fillId="0" borderId="106" xfId="0" applyNumberFormat="1" applyFont="1" applyBorder="1"/>
    <xf numFmtId="168" fontId="11" fillId="0" borderId="105" xfId="0" applyNumberFormat="1" applyFont="1" applyBorder="1"/>
    <xf numFmtId="168" fontId="11" fillId="0" borderId="140" xfId="0" applyNumberFormat="1" applyFont="1" applyBorder="1"/>
    <xf numFmtId="0" fontId="10" fillId="0" borderId="68" xfId="0" applyFont="1" applyBorder="1"/>
    <xf numFmtId="168" fontId="10" fillId="0" borderId="63" xfId="0" applyNumberFormat="1" applyFont="1" applyBorder="1"/>
    <xf numFmtId="168" fontId="10" fillId="0" borderId="64" xfId="0" applyNumberFormat="1" applyFont="1" applyBorder="1"/>
    <xf numFmtId="168" fontId="10" fillId="0" borderId="58" xfId="0" applyNumberFormat="1" applyFont="1" applyBorder="1"/>
    <xf numFmtId="168" fontId="10" fillId="0" borderId="118" xfId="0" applyNumberFormat="1" applyFont="1" applyBorder="1"/>
    <xf numFmtId="167" fontId="10" fillId="0" borderId="179" xfId="0" applyNumberFormat="1" applyFont="1" applyBorder="1"/>
    <xf numFmtId="167" fontId="10" fillId="0" borderId="173" xfId="4" applyNumberFormat="1" applyBorder="1"/>
    <xf numFmtId="167" fontId="10" fillId="0" borderId="164" xfId="4" applyNumberFormat="1" applyBorder="1"/>
    <xf numFmtId="167" fontId="10" fillId="0" borderId="159" xfId="0" applyNumberFormat="1" applyFont="1" applyBorder="1" applyAlignment="1">
      <alignment wrapText="1"/>
    </xf>
    <xf numFmtId="167" fontId="11" fillId="0" borderId="160" xfId="0" applyNumberFormat="1" applyFont="1" applyBorder="1" applyAlignment="1">
      <alignment wrapText="1"/>
    </xf>
    <xf numFmtId="167" fontId="10" fillId="0" borderId="157" xfId="0" applyNumberFormat="1" applyFont="1" applyBorder="1" applyAlignment="1">
      <alignment wrapText="1"/>
    </xf>
    <xf numFmtId="167" fontId="10" fillId="0" borderId="160" xfId="0" applyNumberFormat="1" applyFont="1" applyBorder="1" applyAlignment="1">
      <alignment vertical="top" wrapText="1"/>
    </xf>
    <xf numFmtId="167" fontId="10" fillId="0" borderId="159" xfId="0" applyNumberFormat="1" applyFont="1" applyBorder="1" applyAlignment="1">
      <alignment vertical="top" wrapText="1"/>
    </xf>
    <xf numFmtId="167" fontId="10" fillId="0" borderId="169" xfId="0" applyNumberFormat="1" applyFont="1" applyBorder="1" applyAlignment="1">
      <alignment vertical="top" wrapText="1"/>
    </xf>
    <xf numFmtId="168" fontId="10" fillId="0" borderId="159" xfId="0" applyNumberFormat="1" applyFont="1" applyBorder="1" applyAlignment="1">
      <alignment vertical="top" wrapText="1"/>
    </xf>
    <xf numFmtId="168" fontId="10" fillId="0" borderId="160" xfId="0" applyNumberFormat="1" applyFont="1" applyBorder="1" applyAlignment="1">
      <alignment vertical="top" wrapText="1"/>
    </xf>
    <xf numFmtId="168" fontId="10" fillId="0" borderId="157" xfId="0" applyNumberFormat="1" applyFont="1" applyBorder="1" applyAlignment="1">
      <alignment vertical="top" wrapText="1"/>
    </xf>
    <xf numFmtId="168" fontId="10" fillId="0" borderId="169" xfId="0" applyNumberFormat="1" applyFont="1" applyBorder="1" applyAlignment="1">
      <alignment vertical="top" wrapText="1"/>
    </xf>
    <xf numFmtId="0" fontId="10" fillId="0" borderId="144" xfId="0" applyFont="1" applyBorder="1" applyAlignment="1">
      <alignment vertical="top" wrapText="1"/>
    </xf>
    <xf numFmtId="168" fontId="10" fillId="0" borderId="187" xfId="0" applyNumberFormat="1" applyFont="1" applyBorder="1"/>
    <xf numFmtId="168" fontId="10" fillId="0" borderId="188" xfId="0" applyNumberFormat="1" applyFont="1" applyBorder="1"/>
    <xf numFmtId="168" fontId="10" fillId="0" borderId="189" xfId="0" applyNumberFormat="1" applyFont="1" applyBorder="1"/>
    <xf numFmtId="168" fontId="10" fillId="0" borderId="141" xfId="0" applyNumberFormat="1" applyFont="1" applyBorder="1"/>
    <xf numFmtId="0" fontId="10" fillId="0" borderId="40" xfId="0" applyFont="1" applyBorder="1" applyAlignment="1">
      <alignment wrapText="1"/>
    </xf>
    <xf numFmtId="167" fontId="10" fillId="0" borderId="36" xfId="0" applyNumberFormat="1" applyFont="1" applyBorder="1" applyAlignment="1">
      <alignment vertical="top"/>
    </xf>
    <xf numFmtId="167" fontId="10" fillId="0" borderId="38" xfId="0" applyNumberFormat="1" applyFont="1" applyBorder="1" applyAlignment="1">
      <alignment vertical="top"/>
    </xf>
    <xf numFmtId="167" fontId="10" fillId="0" borderId="34" xfId="0" applyNumberFormat="1" applyFont="1" applyBorder="1" applyAlignment="1">
      <alignment vertical="top"/>
    </xf>
    <xf numFmtId="167" fontId="10" fillId="0" borderId="35" xfId="0" applyNumberFormat="1" applyFont="1" applyBorder="1" applyAlignment="1">
      <alignment vertical="top"/>
    </xf>
    <xf numFmtId="167" fontId="10" fillId="0" borderId="163" xfId="0" applyNumberFormat="1" applyFont="1" applyBorder="1" applyAlignment="1">
      <alignment vertical="top"/>
    </xf>
    <xf numFmtId="167" fontId="10" fillId="0" borderId="164" xfId="0" applyNumberFormat="1" applyFont="1" applyBorder="1" applyAlignment="1">
      <alignment vertical="top"/>
    </xf>
    <xf numFmtId="167" fontId="10" fillId="0" borderId="131" xfId="0" applyNumberFormat="1" applyFont="1" applyBorder="1" applyAlignment="1">
      <alignment vertical="top"/>
    </xf>
    <xf numFmtId="167" fontId="10" fillId="0" borderId="170" xfId="0" applyNumberFormat="1" applyFont="1" applyBorder="1" applyAlignment="1">
      <alignment vertical="top"/>
    </xf>
    <xf numFmtId="167" fontId="10" fillId="0" borderId="73" xfId="0" applyNumberFormat="1" applyFont="1" applyBorder="1" applyAlignment="1">
      <alignment vertical="top"/>
    </xf>
    <xf numFmtId="167" fontId="10" fillId="0" borderId="172" xfId="0" applyNumberFormat="1" applyFont="1" applyBorder="1" applyAlignment="1">
      <alignment vertical="top"/>
    </xf>
    <xf numFmtId="169" fontId="10" fillId="0" borderId="163" xfId="0" applyNumberFormat="1" applyFont="1" applyBorder="1" applyAlignment="1">
      <alignment vertical="top"/>
    </xf>
    <xf numFmtId="168" fontId="10" fillId="0" borderId="128" xfId="0" applyNumberFormat="1" applyFont="1" applyBorder="1" applyAlignment="1">
      <alignment vertical="top"/>
    </xf>
    <xf numFmtId="168" fontId="10" fillId="0" borderId="131" xfId="0" applyNumberFormat="1" applyFont="1" applyBorder="1" applyAlignment="1">
      <alignment vertical="top"/>
    </xf>
    <xf numFmtId="168" fontId="10" fillId="0" borderId="164" xfId="0" applyNumberFormat="1" applyFont="1" applyBorder="1" applyAlignment="1">
      <alignment vertical="top"/>
    </xf>
    <xf numFmtId="0" fontId="10" fillId="0" borderId="33" xfId="0" applyFont="1" applyBorder="1" applyAlignment="1">
      <alignment wrapText="1"/>
    </xf>
    <xf numFmtId="169" fontId="10" fillId="0" borderId="131" xfId="0" applyNumberFormat="1" applyFont="1" applyBorder="1" applyAlignment="1">
      <alignment vertical="top"/>
    </xf>
    <xf numFmtId="169" fontId="11" fillId="0" borderId="144" xfId="0" applyNumberFormat="1" applyFont="1" applyBorder="1" applyAlignment="1">
      <alignment wrapText="1"/>
    </xf>
    <xf numFmtId="167" fontId="11" fillId="0" borderId="172" xfId="0" applyNumberFormat="1" applyFont="1" applyBorder="1" applyAlignment="1">
      <alignment wrapText="1"/>
    </xf>
    <xf numFmtId="167" fontId="11" fillId="0" borderId="173" xfId="4" applyNumberFormat="1" applyFont="1" applyBorder="1"/>
    <xf numFmtId="167" fontId="11" fillId="0" borderId="164" xfId="4" applyNumberFormat="1" applyFont="1" applyBorder="1"/>
    <xf numFmtId="167" fontId="11" fillId="0" borderId="144" xfId="0" applyNumberFormat="1" applyFont="1" applyBorder="1"/>
    <xf numFmtId="167" fontId="11" fillId="0" borderId="150" xfId="0" applyNumberFormat="1" applyFont="1" applyBorder="1"/>
    <xf numFmtId="167" fontId="11" fillId="0" borderId="145" xfId="0" applyNumberFormat="1" applyFont="1" applyBorder="1"/>
    <xf numFmtId="167" fontId="11" fillId="0" borderId="151" xfId="0" applyNumberFormat="1" applyFont="1" applyBorder="1"/>
    <xf numFmtId="167" fontId="11" fillId="0" borderId="136" xfId="0" applyNumberFormat="1" applyFont="1" applyBorder="1"/>
    <xf numFmtId="0" fontId="11" fillId="0" borderId="29" xfId="0" applyFont="1" applyBorder="1" applyAlignment="1">
      <alignment wrapText="1"/>
    </xf>
    <xf numFmtId="168" fontId="11" fillId="0" borderId="72" xfId="0" applyNumberFormat="1" applyFont="1" applyBorder="1"/>
    <xf numFmtId="167" fontId="11" fillId="0" borderId="57" xfId="0" applyNumberFormat="1" applyFont="1" applyBorder="1"/>
    <xf numFmtId="168" fontId="10" fillId="0" borderId="72" xfId="0" applyNumberFormat="1" applyFont="1" applyBorder="1"/>
    <xf numFmtId="168" fontId="10" fillId="0" borderId="26" xfId="0" applyNumberFormat="1" applyFont="1" applyBorder="1"/>
    <xf numFmtId="168" fontId="10" fillId="0" borderId="71" xfId="0" applyNumberFormat="1" applyFont="1" applyBorder="1"/>
    <xf numFmtId="168" fontId="11" fillId="0" borderId="71" xfId="0" applyNumberFormat="1" applyFont="1" applyBorder="1"/>
    <xf numFmtId="168" fontId="10" fillId="0" borderId="28" xfId="0" applyNumberFormat="1" applyFont="1" applyBorder="1"/>
    <xf numFmtId="0" fontId="11" fillId="0" borderId="146" xfId="0" applyFont="1" applyBorder="1"/>
    <xf numFmtId="169" fontId="11" fillId="0" borderId="36" xfId="0" applyNumberFormat="1" applyFont="1" applyBorder="1"/>
    <xf numFmtId="168" fontId="11" fillId="0" borderId="38" xfId="0" applyNumberFormat="1" applyFont="1" applyBorder="1"/>
    <xf numFmtId="168" fontId="11" fillId="0" borderId="41" xfId="0" applyNumberFormat="1" applyFont="1" applyBorder="1"/>
    <xf numFmtId="168" fontId="11" fillId="0" borderId="107" xfId="0" applyNumberFormat="1" applyFont="1" applyBorder="1"/>
    <xf numFmtId="168" fontId="11" fillId="0" borderId="108" xfId="0" applyNumberFormat="1" applyFont="1" applyBorder="1"/>
    <xf numFmtId="168" fontId="11" fillId="0" borderId="142" xfId="0" applyNumberFormat="1" applyFont="1" applyBorder="1"/>
    <xf numFmtId="0" fontId="10" fillId="0" borderId="147" xfId="0" applyFont="1" applyBorder="1"/>
    <xf numFmtId="167" fontId="10" fillId="0" borderId="152" xfId="0" applyNumberFormat="1" applyFont="1" applyBorder="1"/>
    <xf numFmtId="167" fontId="11" fillId="0" borderId="153" xfId="0" applyNumberFormat="1" applyFont="1" applyBorder="1"/>
    <xf numFmtId="168" fontId="11" fillId="0" borderId="36" xfId="0" applyNumberFormat="1" applyFont="1" applyBorder="1"/>
    <xf numFmtId="0" fontId="10" fillId="0" borderId="73" xfId="9" applyBorder="1" applyAlignment="1">
      <alignment vertical="top" wrapText="1"/>
    </xf>
    <xf numFmtId="168" fontId="11" fillId="0" borderId="164" xfId="0" applyNumberFormat="1" applyFont="1" applyBorder="1"/>
    <xf numFmtId="169" fontId="10" fillId="0" borderId="124" xfId="0" applyNumberFormat="1" applyFont="1" applyBorder="1"/>
    <xf numFmtId="167" fontId="10" fillId="0" borderId="67" xfId="0" applyNumberFormat="1" applyFont="1" applyBorder="1"/>
    <xf numFmtId="167" fontId="10" fillId="0" borderId="190" xfId="0" applyNumberFormat="1" applyFont="1" applyBorder="1"/>
    <xf numFmtId="167" fontId="10" fillId="0" borderId="47" xfId="0" applyNumberFormat="1" applyFont="1" applyBorder="1"/>
    <xf numFmtId="168" fontId="10" fillId="0" borderId="138" xfId="0" applyNumberFormat="1" applyFont="1" applyBorder="1"/>
    <xf numFmtId="168" fontId="11" fillId="0" borderId="169" xfId="0" applyNumberFormat="1" applyFont="1" applyBorder="1"/>
    <xf numFmtId="0" fontId="11" fillId="0" borderId="147" xfId="0" applyFont="1" applyBorder="1"/>
    <xf numFmtId="0" fontId="11" fillId="0" borderId="120" xfId="0" applyFont="1" applyBorder="1"/>
    <xf numFmtId="168" fontId="11" fillId="0" borderId="139" xfId="0" applyNumberFormat="1" applyFont="1" applyBorder="1"/>
    <xf numFmtId="168" fontId="11" fillId="0" borderId="57" xfId="0" applyNumberFormat="1" applyFont="1" applyBorder="1"/>
    <xf numFmtId="168" fontId="11" fillId="0" borderId="143" xfId="0" applyNumberFormat="1" applyFont="1" applyBorder="1"/>
    <xf numFmtId="0" fontId="11" fillId="0" borderId="68" xfId="0" applyFont="1" applyBorder="1" applyAlignment="1">
      <alignment vertical="top" wrapText="1"/>
    </xf>
    <xf numFmtId="167" fontId="11" fillId="0" borderId="105" xfId="0" applyNumberFormat="1" applyFont="1" applyBorder="1"/>
    <xf numFmtId="168" fontId="11" fillId="0" borderId="46" xfId="0" applyNumberFormat="1" applyFont="1" applyBorder="1"/>
    <xf numFmtId="168" fontId="11" fillId="0" borderId="44" xfId="0" applyNumberFormat="1" applyFont="1" applyBorder="1"/>
    <xf numFmtId="168" fontId="11" fillId="0" borderId="67" xfId="0" applyNumberFormat="1" applyFont="1" applyBorder="1"/>
    <xf numFmtId="168" fontId="11" fillId="0" borderId="160" xfId="0" applyNumberFormat="1" applyFont="1" applyBorder="1"/>
    <xf numFmtId="168" fontId="10" fillId="0" borderId="162" xfId="0" applyNumberFormat="1" applyFont="1" applyBorder="1"/>
    <xf numFmtId="168" fontId="10" fillId="0" borderId="164" xfId="0" applyNumberFormat="1" applyFont="1" applyBorder="1"/>
    <xf numFmtId="167" fontId="10" fillId="0" borderId="183" xfId="0" applyNumberFormat="1" applyFont="1" applyBorder="1"/>
    <xf numFmtId="168" fontId="10" fillId="0" borderId="67" xfId="0" applyNumberFormat="1" applyFont="1" applyBorder="1"/>
    <xf numFmtId="168" fontId="10" fillId="0" borderId="150" xfId="0" applyNumberFormat="1" applyFont="1" applyBorder="1"/>
    <xf numFmtId="168" fontId="11" fillId="0" borderId="150" xfId="0" applyNumberFormat="1" applyFont="1" applyBorder="1"/>
    <xf numFmtId="168" fontId="11" fillId="0" borderId="157" xfId="0" applyNumberFormat="1" applyFont="1" applyBorder="1"/>
    <xf numFmtId="167" fontId="10" fillId="0" borderId="145" xfId="0" applyNumberFormat="1" applyFont="1" applyBorder="1"/>
    <xf numFmtId="168" fontId="10" fillId="0" borderId="161" xfId="0" applyNumberFormat="1" applyFont="1" applyBorder="1"/>
    <xf numFmtId="168" fontId="10" fillId="0" borderId="129" xfId="0" applyNumberFormat="1" applyFont="1" applyBorder="1"/>
    <xf numFmtId="168" fontId="10" fillId="0" borderId="139" xfId="0" applyNumberFormat="1" applyFont="1" applyBorder="1"/>
    <xf numFmtId="168" fontId="11" fillId="0" borderId="162" xfId="0" applyNumberFormat="1" applyFont="1" applyBorder="1"/>
    <xf numFmtId="0" fontId="10" fillId="0" borderId="145" xfId="0" applyFont="1" applyBorder="1"/>
    <xf numFmtId="0" fontId="11" fillId="0" borderId="29" xfId="0" applyFont="1" applyBorder="1"/>
    <xf numFmtId="0" fontId="11" fillId="0" borderId="37" xfId="4" applyFont="1" applyBorder="1" applyAlignment="1">
      <alignment wrapText="1"/>
    </xf>
    <xf numFmtId="0" fontId="11" fillId="0" borderId="37" xfId="4" applyFont="1" applyBorder="1" applyAlignment="1">
      <alignment horizontal="center" wrapText="1"/>
    </xf>
    <xf numFmtId="0" fontId="11" fillId="0" borderId="37" xfId="4" applyFont="1" applyBorder="1" applyAlignment="1">
      <alignment horizontal="left"/>
    </xf>
    <xf numFmtId="167" fontId="11" fillId="0" borderId="37" xfId="4" applyNumberFormat="1" applyFont="1" applyBorder="1"/>
    <xf numFmtId="0" fontId="11" fillId="0" borderId="38" xfId="4" applyFont="1" applyBorder="1"/>
    <xf numFmtId="0" fontId="11" fillId="0" borderId="173" xfId="4" applyFont="1" applyBorder="1"/>
    <xf numFmtId="0" fontId="11" fillId="0" borderId="173" xfId="4" applyFont="1" applyBorder="1" applyAlignment="1">
      <alignment horizontal="center"/>
    </xf>
    <xf numFmtId="0" fontId="11" fillId="0" borderId="173" xfId="4" applyFont="1" applyBorder="1" applyAlignment="1">
      <alignment horizontal="left"/>
    </xf>
    <xf numFmtId="0" fontId="11" fillId="0" borderId="173" xfId="4" applyFont="1" applyBorder="1" applyAlignment="1">
      <alignment wrapText="1"/>
    </xf>
    <xf numFmtId="0" fontId="11" fillId="0" borderId="173" xfId="4" applyFont="1" applyBorder="1" applyAlignment="1">
      <alignment horizontal="center" wrapText="1"/>
    </xf>
    <xf numFmtId="0" fontId="11" fillId="0" borderId="173" xfId="4" applyFont="1" applyBorder="1" applyAlignment="1">
      <alignment horizontal="left" wrapText="1"/>
    </xf>
    <xf numFmtId="0" fontId="11" fillId="0" borderId="164" xfId="4" applyFont="1" applyBorder="1"/>
    <xf numFmtId="167" fontId="28" fillId="0" borderId="173" xfId="4" applyNumberFormat="1" applyFont="1" applyBorder="1"/>
    <xf numFmtId="167" fontId="11" fillId="0" borderId="173" xfId="0" applyNumberFormat="1" applyFont="1" applyBorder="1"/>
    <xf numFmtId="0" fontId="11" fillId="0" borderId="173" xfId="0" applyFont="1" applyBorder="1" applyAlignment="1">
      <alignment vertical="center" wrapText="1"/>
    </xf>
    <xf numFmtId="0" fontId="11" fillId="0" borderId="173" xfId="4" applyFont="1" applyBorder="1" applyAlignment="1">
      <alignment horizontal="left" vertical="top" wrapText="1"/>
    </xf>
    <xf numFmtId="0" fontId="11" fillId="0" borderId="203" xfId="4" applyFont="1" applyBorder="1"/>
    <xf numFmtId="0" fontId="11" fillId="0" borderId="203" xfId="4" applyFont="1" applyBorder="1" applyAlignment="1">
      <alignment horizontal="center"/>
    </xf>
    <xf numFmtId="0" fontId="11" fillId="0" borderId="203" xfId="4" applyFont="1" applyBorder="1" applyAlignment="1">
      <alignment horizontal="left" vertical="top" wrapText="1"/>
    </xf>
    <xf numFmtId="167" fontId="11" fillId="0" borderId="203" xfId="4" applyNumberFormat="1" applyFont="1" applyBorder="1"/>
    <xf numFmtId="167" fontId="11" fillId="0" borderId="128" xfId="4" applyNumberFormat="1" applyFont="1" applyBorder="1"/>
    <xf numFmtId="0" fontId="11" fillId="0" borderId="37" xfId="4" applyFont="1" applyBorder="1"/>
    <xf numFmtId="0" fontId="11" fillId="0" borderId="37" xfId="4" applyFont="1" applyBorder="1" applyAlignment="1">
      <alignment horizontal="center"/>
    </xf>
    <xf numFmtId="0" fontId="11" fillId="0" borderId="37" xfId="4" applyFont="1" applyBorder="1" applyAlignment="1">
      <alignment horizontal="left" vertical="top" wrapText="1"/>
    </xf>
    <xf numFmtId="167" fontId="11" fillId="0" borderId="38" xfId="4" applyNumberFormat="1" applyFont="1" applyBorder="1"/>
    <xf numFmtId="0" fontId="11" fillId="0" borderId="173" xfId="0" applyFont="1" applyBorder="1" applyAlignment="1">
      <alignment horizontal="center" vertical="center" wrapText="1"/>
    </xf>
    <xf numFmtId="168" fontId="11" fillId="0" borderId="164" xfId="4" applyNumberFormat="1" applyFont="1" applyBorder="1"/>
    <xf numFmtId="0" fontId="11" fillId="0" borderId="173" xfId="0" applyFont="1" applyBorder="1" applyAlignment="1">
      <alignment wrapText="1"/>
    </xf>
    <xf numFmtId="0" fontId="10" fillId="0" borderId="173" xfId="0" applyFont="1" applyBorder="1" applyAlignment="1">
      <alignment wrapText="1"/>
    </xf>
    <xf numFmtId="0" fontId="10" fillId="0" borderId="173" xfId="0" applyFont="1" applyBorder="1" applyAlignment="1">
      <alignment horizontal="center" vertical="center" wrapText="1"/>
    </xf>
    <xf numFmtId="0" fontId="11" fillId="0" borderId="173" xfId="0" applyFont="1" applyBorder="1" applyAlignment="1">
      <alignment horizontal="center" vertical="top" wrapText="1"/>
    </xf>
    <xf numFmtId="167" fontId="32" fillId="0" borderId="164" xfId="4" applyNumberFormat="1" applyFont="1" applyBorder="1"/>
    <xf numFmtId="0" fontId="10" fillId="0" borderId="173" xfId="0" applyFont="1" applyBorder="1" applyAlignment="1">
      <alignment horizontal="center" vertical="top" wrapText="1"/>
    </xf>
    <xf numFmtId="167" fontId="33" fillId="0" borderId="164" xfId="4" applyNumberFormat="1" applyFont="1" applyBorder="1"/>
    <xf numFmtId="169" fontId="11" fillId="0" borderId="173" xfId="4" applyNumberFormat="1" applyFont="1" applyBorder="1"/>
    <xf numFmtId="0" fontId="11" fillId="0" borderId="173" xfId="0" applyFont="1" applyBorder="1"/>
    <xf numFmtId="0" fontId="11" fillId="0" borderId="180" xfId="0" applyFont="1" applyBorder="1" applyAlignment="1">
      <alignment horizontal="center" vertical="center" wrapText="1"/>
    </xf>
    <xf numFmtId="0" fontId="11" fillId="0" borderId="163" xfId="0" applyFont="1" applyBorder="1" applyAlignment="1">
      <alignment wrapText="1"/>
    </xf>
    <xf numFmtId="0" fontId="11" fillId="0" borderId="121" xfId="4" applyFont="1" applyBorder="1" applyAlignment="1">
      <alignment horizontal="left" vertical="top" wrapText="1"/>
    </xf>
    <xf numFmtId="0" fontId="11" fillId="0" borderId="37" xfId="0" applyFont="1" applyBorder="1" applyAlignment="1">
      <alignment wrapText="1"/>
    </xf>
    <xf numFmtId="0" fontId="11" fillId="0" borderId="110" xfId="0" applyFont="1" applyBorder="1" applyAlignment="1">
      <alignment wrapText="1"/>
    </xf>
    <xf numFmtId="0" fontId="11" fillId="0" borderId="121" xfId="0" applyFont="1" applyBorder="1" applyAlignment="1">
      <alignment horizontal="center" vertical="center" wrapText="1"/>
    </xf>
    <xf numFmtId="167" fontId="11" fillId="0" borderId="79" xfId="4" applyNumberFormat="1" applyFont="1" applyBorder="1"/>
    <xf numFmtId="0" fontId="10" fillId="0" borderId="36" xfId="4" applyBorder="1"/>
    <xf numFmtId="0" fontId="10" fillId="0" borderId="163" xfId="4" applyBorder="1"/>
    <xf numFmtId="0" fontId="10" fillId="0" borderId="173" xfId="4" applyBorder="1"/>
    <xf numFmtId="0" fontId="10" fillId="0" borderId="173" xfId="4" applyBorder="1" applyAlignment="1">
      <alignment horizontal="center"/>
    </xf>
    <xf numFmtId="0" fontId="10" fillId="0" borderId="173" xfId="4" applyBorder="1" applyAlignment="1">
      <alignment horizontal="left"/>
    </xf>
    <xf numFmtId="0" fontId="10" fillId="0" borderId="173" xfId="4" applyBorder="1" applyAlignment="1">
      <alignment horizontal="left" vertical="top" wrapText="1"/>
    </xf>
    <xf numFmtId="0" fontId="10" fillId="0" borderId="164" xfId="4" applyBorder="1"/>
    <xf numFmtId="0" fontId="10" fillId="0" borderId="136" xfId="4" applyBorder="1"/>
    <xf numFmtId="0" fontId="29" fillId="0" borderId="31" xfId="4" applyFont="1" applyBorder="1"/>
    <xf numFmtId="0" fontId="18" fillId="0" borderId="25" xfId="4" applyFont="1" applyBorder="1" applyAlignment="1">
      <alignment wrapText="1"/>
    </xf>
    <xf numFmtId="0" fontId="18" fillId="0" borderId="25" xfId="4" applyFont="1" applyBorder="1" applyAlignment="1">
      <alignment horizontal="center"/>
    </xf>
    <xf numFmtId="0" fontId="18" fillId="0" borderId="25" xfId="4" applyFont="1" applyBorder="1" applyAlignment="1">
      <alignment horizontal="left" vertical="top" wrapText="1"/>
    </xf>
    <xf numFmtId="167" fontId="18" fillId="0" borderId="25" xfId="4" applyNumberFormat="1" applyFont="1" applyBorder="1"/>
    <xf numFmtId="167" fontId="18" fillId="0" borderId="26" xfId="4" applyNumberFormat="1" applyFont="1" applyBorder="1"/>
    <xf numFmtId="0" fontId="10" fillId="0" borderId="173" xfId="4" applyBorder="1" applyAlignment="1">
      <alignment wrapText="1"/>
    </xf>
    <xf numFmtId="169" fontId="10" fillId="0" borderId="173" xfId="4" applyNumberFormat="1" applyBorder="1"/>
    <xf numFmtId="167" fontId="10" fillId="0" borderId="37" xfId="4" applyNumberFormat="1" applyBorder="1"/>
    <xf numFmtId="167" fontId="10" fillId="0" borderId="121" xfId="4" applyNumberFormat="1" applyBorder="1"/>
    <xf numFmtId="0" fontId="18" fillId="0" borderId="25" xfId="0" applyFont="1" applyBorder="1" applyAlignment="1">
      <alignment vertical="center" wrapText="1"/>
    </xf>
    <xf numFmtId="0" fontId="18" fillId="0" borderId="25" xfId="0" applyFont="1" applyBorder="1" applyAlignment="1">
      <alignment horizontal="center" vertical="center" wrapText="1"/>
    </xf>
    <xf numFmtId="0" fontId="10" fillId="0" borderId="31" xfId="4" applyBorder="1"/>
    <xf numFmtId="0" fontId="18" fillId="0" borderId="25" xfId="4" applyFont="1" applyBorder="1"/>
    <xf numFmtId="169" fontId="18" fillId="0" borderId="25" xfId="4" applyNumberFormat="1" applyFont="1" applyBorder="1"/>
    <xf numFmtId="169" fontId="22" fillId="0" borderId="191" xfId="4" applyNumberFormat="1" applyFont="1" applyBorder="1" applyAlignment="1">
      <alignment horizontal="center" vertical="center" wrapText="1"/>
    </xf>
    <xf numFmtId="169" fontId="22" fillId="0" borderId="191" xfId="4" applyNumberFormat="1" applyFont="1" applyBorder="1" applyAlignment="1">
      <alignment horizontal="center" vertical="center"/>
    </xf>
    <xf numFmtId="169" fontId="6" fillId="0" borderId="191" xfId="32" applyNumberFormat="1" applyFont="1" applyBorder="1" applyAlignment="1">
      <alignment horizontal="center" vertical="center"/>
    </xf>
    <xf numFmtId="169" fontId="6" fillId="0" borderId="37" xfId="2" applyNumberFormat="1" applyFont="1" applyBorder="1" applyAlignment="1">
      <alignment horizontal="center" vertical="center" wrapText="1"/>
    </xf>
    <xf numFmtId="169" fontId="6" fillId="0" borderId="37" xfId="2" applyNumberFormat="1" applyFont="1" applyBorder="1" applyAlignment="1">
      <alignment horizontal="center" vertical="center"/>
    </xf>
    <xf numFmtId="169" fontId="6" fillId="0" borderId="196" xfId="32" applyNumberFormat="1" applyFont="1" applyBorder="1" applyAlignment="1">
      <alignment horizontal="center" vertical="center"/>
    </xf>
    <xf numFmtId="169" fontId="6" fillId="0" borderId="180" xfId="2" applyNumberFormat="1" applyFont="1" applyBorder="1" applyAlignment="1">
      <alignment horizontal="center" vertical="center"/>
    </xf>
    <xf numFmtId="169" fontId="6" fillId="0" borderId="209" xfId="2" applyNumberFormat="1" applyFont="1" applyBorder="1" applyAlignment="1">
      <alignment horizontal="center" vertical="center" wrapText="1"/>
    </xf>
    <xf numFmtId="169" fontId="6" fillId="0" borderId="173" xfId="32" applyNumberFormat="1" applyFont="1" applyBorder="1" applyAlignment="1">
      <alignment horizontal="center" vertical="center"/>
    </xf>
    <xf numFmtId="169" fontId="8" fillId="0" borderId="173" xfId="2" applyNumberFormat="1" applyFont="1" applyBorder="1" applyAlignment="1">
      <alignment horizontal="center" vertical="center"/>
    </xf>
    <xf numFmtId="169" fontId="8" fillId="0" borderId="191" xfId="32" applyNumberFormat="1" applyFont="1" applyBorder="1" applyAlignment="1">
      <alignment horizontal="center" vertical="center"/>
    </xf>
    <xf numFmtId="169" fontId="8" fillId="0" borderId="173" xfId="2" applyNumberFormat="1" applyFont="1" applyBorder="1" applyAlignment="1">
      <alignment horizontal="center" vertical="center" wrapText="1"/>
    </xf>
    <xf numFmtId="0" fontId="6" fillId="0" borderId="198" xfId="0" applyFont="1" applyBorder="1" applyAlignment="1">
      <alignment horizontal="center" vertical="center"/>
    </xf>
    <xf numFmtId="169" fontId="22" fillId="0" borderId="192" xfId="32" applyNumberFormat="1" applyFont="1" applyBorder="1" applyAlignment="1">
      <alignment horizontal="center" vertical="center" wrapText="1"/>
    </xf>
    <xf numFmtId="169" fontId="6" fillId="0" borderId="173" xfId="0" applyNumberFormat="1" applyFont="1" applyBorder="1" applyAlignment="1">
      <alignment horizontal="center" vertical="center"/>
    </xf>
    <xf numFmtId="169" fontId="22" fillId="0" borderId="199" xfId="32" applyNumberFormat="1" applyFont="1" applyBorder="1" applyAlignment="1">
      <alignment horizontal="center" vertical="center"/>
    </xf>
    <xf numFmtId="169" fontId="22" fillId="0" borderId="200" xfId="32" applyNumberFormat="1" applyFont="1" applyBorder="1" applyAlignment="1">
      <alignment horizontal="center" vertical="center" wrapText="1"/>
    </xf>
    <xf numFmtId="169" fontId="6" fillId="0" borderId="202" xfId="2" applyNumberFormat="1" applyFont="1" applyBorder="1" applyAlignment="1">
      <alignment horizontal="center" vertical="center" wrapText="1"/>
    </xf>
    <xf numFmtId="169" fontId="6" fillId="0" borderId="202" xfId="2" applyNumberFormat="1" applyFont="1" applyBorder="1" applyAlignment="1">
      <alignment horizontal="center" vertical="center"/>
    </xf>
    <xf numFmtId="169" fontId="22" fillId="0" borderId="180" xfId="32" applyNumberFormat="1" applyFont="1" applyBorder="1" applyAlignment="1">
      <alignment horizontal="center" vertical="center" wrapText="1"/>
    </xf>
    <xf numFmtId="169" fontId="22" fillId="0" borderId="194" xfId="32" applyNumberFormat="1" applyFont="1" applyBorder="1" applyAlignment="1">
      <alignment horizontal="center" vertical="center" wrapText="1"/>
    </xf>
    <xf numFmtId="169" fontId="6" fillId="0" borderId="180" xfId="2" applyNumberFormat="1" applyFont="1" applyBorder="1" applyAlignment="1">
      <alignment horizontal="center" vertical="center" wrapText="1"/>
    </xf>
    <xf numFmtId="169" fontId="34" fillId="0" borderId="173" xfId="32" applyNumberFormat="1" applyFont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22" xfId="0" applyFont="1" applyBorder="1" applyAlignment="1">
      <alignment vertical="top" wrapText="1"/>
    </xf>
    <xf numFmtId="0" fontId="6" fillId="0" borderId="49" xfId="0" applyFont="1" applyBorder="1"/>
    <xf numFmtId="0" fontId="6" fillId="0" borderId="42" xfId="0" applyFont="1" applyBorder="1" applyAlignment="1">
      <alignment vertical="top" wrapText="1"/>
    </xf>
    <xf numFmtId="0" fontId="6" fillId="0" borderId="73" xfId="0" applyFont="1" applyBorder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94" xfId="9" applyBorder="1" applyAlignment="1">
      <alignment horizontal="center" vertical="center" wrapText="1"/>
    </xf>
    <xf numFmtId="0" fontId="10" fillId="0" borderId="85" xfId="9" applyBorder="1" applyAlignment="1">
      <alignment horizontal="center" vertical="center" wrapText="1"/>
    </xf>
    <xf numFmtId="0" fontId="10" fillId="0" borderId="83" xfId="9" applyBorder="1" applyAlignment="1">
      <alignment horizontal="center" vertical="center" wrapText="1"/>
    </xf>
    <xf numFmtId="0" fontId="11" fillId="0" borderId="96" xfId="9" applyFont="1" applyBorder="1" applyAlignment="1">
      <alignment horizontal="center" vertical="center" wrapText="1"/>
    </xf>
    <xf numFmtId="0" fontId="11" fillId="0" borderId="97" xfId="9" applyFont="1" applyBorder="1" applyAlignment="1">
      <alignment horizontal="center" vertical="center" wrapText="1"/>
    </xf>
    <xf numFmtId="0" fontId="11" fillId="0" borderId="98" xfId="9" applyFont="1" applyBorder="1" applyAlignment="1">
      <alignment horizontal="center" vertical="center" wrapText="1"/>
    </xf>
    <xf numFmtId="0" fontId="10" fillId="0" borderId="92" xfId="9" applyBorder="1" applyAlignment="1">
      <alignment horizontal="center" vertical="center" wrapText="1"/>
    </xf>
    <xf numFmtId="0" fontId="10" fillId="0" borderId="93" xfId="9" applyBorder="1" applyAlignment="1">
      <alignment horizontal="center" vertical="center" wrapText="1"/>
    </xf>
    <xf numFmtId="0" fontId="10" fillId="0" borderId="84" xfId="9" applyBorder="1" applyAlignment="1">
      <alignment horizontal="center" vertical="center" wrapText="1"/>
    </xf>
    <xf numFmtId="0" fontId="10" fillId="0" borderId="95" xfId="9" applyBorder="1" applyAlignment="1">
      <alignment horizontal="center" vertical="center" wrapText="1"/>
    </xf>
    <xf numFmtId="0" fontId="10" fillId="0" borderId="82" xfId="9" applyBorder="1" applyAlignment="1">
      <alignment horizontal="center" vertical="center" wrapText="1"/>
    </xf>
    <xf numFmtId="0" fontId="0" fillId="0" borderId="42" xfId="0" applyBorder="1"/>
    <xf numFmtId="0" fontId="0" fillId="0" borderId="73" xfId="0" applyBorder="1"/>
    <xf numFmtId="0" fontId="10" fillId="0" borderId="87" xfId="9" applyBorder="1" applyAlignment="1">
      <alignment horizontal="center" vertical="center" wrapText="1"/>
    </xf>
    <xf numFmtId="0" fontId="10" fillId="0" borderId="88" xfId="9" applyBorder="1" applyAlignment="1">
      <alignment horizontal="center" vertical="center" wrapText="1"/>
    </xf>
    <xf numFmtId="0" fontId="10" fillId="0" borderId="89" xfId="9" applyBorder="1" applyAlignment="1">
      <alignment horizontal="center" vertical="center" wrapText="1"/>
    </xf>
    <xf numFmtId="0" fontId="11" fillId="0" borderId="90" xfId="9" applyFont="1" applyBorder="1" applyAlignment="1">
      <alignment horizontal="center" vertical="center" wrapText="1"/>
    </xf>
    <xf numFmtId="0" fontId="11" fillId="0" borderId="86" xfId="9" applyFont="1" applyBorder="1" applyAlignment="1">
      <alignment horizontal="center" vertical="center" wrapText="1"/>
    </xf>
    <xf numFmtId="0" fontId="11" fillId="0" borderId="91" xfId="9" applyFont="1" applyBorder="1" applyAlignment="1">
      <alignment horizontal="center" vertical="center" wrapText="1"/>
    </xf>
    <xf numFmtId="0" fontId="11" fillId="0" borderId="101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22" xfId="9" applyBorder="1" applyAlignment="1">
      <alignment horizontal="center" vertical="center" wrapText="1"/>
    </xf>
    <xf numFmtId="0" fontId="10" fillId="0" borderId="56" xfId="9" applyBorder="1" applyAlignment="1">
      <alignment horizontal="center" vertical="center" wrapText="1"/>
    </xf>
    <xf numFmtId="0" fontId="11" fillId="0" borderId="100" xfId="0" applyFont="1" applyBorder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0" fillId="0" borderId="0" xfId="0" applyFont="1"/>
    <xf numFmtId="0" fontId="11" fillId="0" borderId="132" xfId="0" applyFont="1" applyBorder="1" applyAlignment="1">
      <alignment horizontal="center" vertical="center" wrapText="1"/>
    </xf>
    <xf numFmtId="0" fontId="10" fillId="3" borderId="22" xfId="0" applyFont="1" applyFill="1" applyBorder="1"/>
    <xf numFmtId="0" fontId="10" fillId="3" borderId="49" xfId="0" applyFont="1" applyFill="1" applyBorder="1"/>
    <xf numFmtId="0" fontId="10" fillId="0" borderId="99" xfId="4" applyBorder="1" applyAlignment="1">
      <alignment horizontal="center" vertical="top" wrapText="1"/>
    </xf>
    <xf numFmtId="0" fontId="10" fillId="0" borderId="76" xfId="4" applyBorder="1" applyAlignment="1">
      <alignment horizontal="center" vertical="top" wrapText="1"/>
    </xf>
    <xf numFmtId="0" fontId="10" fillId="0" borderId="81" xfId="4" applyBorder="1" applyAlignment="1">
      <alignment horizontal="center" vertical="top" wrapText="1"/>
    </xf>
    <xf numFmtId="0" fontId="10" fillId="0" borderId="74" xfId="4" applyBorder="1" applyAlignment="1">
      <alignment horizontal="center" vertical="top" wrapText="1"/>
    </xf>
    <xf numFmtId="0" fontId="10" fillId="0" borderId="43" xfId="4" applyBorder="1" applyAlignment="1">
      <alignment horizontal="center" vertical="top"/>
    </xf>
    <xf numFmtId="0" fontId="10" fillId="0" borderId="174" xfId="4" applyBorder="1" applyAlignment="1">
      <alignment horizontal="center" vertical="top"/>
    </xf>
    <xf numFmtId="0" fontId="10" fillId="0" borderId="174" xfId="0" applyFont="1" applyBorder="1" applyAlignment="1">
      <alignment horizontal="center" vertical="top"/>
    </xf>
    <xf numFmtId="0" fontId="7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0" fillId="0" borderId="191" xfId="32" applyFont="1" applyBorder="1" applyAlignment="1">
      <alignment horizontal="center" vertical="center" wrapText="1"/>
    </xf>
    <xf numFmtId="0" fontId="30" fillId="3" borderId="191" xfId="32" applyFont="1" applyFill="1" applyBorder="1" applyAlignment="1">
      <alignment horizontal="center" vertical="center" wrapText="1"/>
    </xf>
    <xf numFmtId="0" fontId="30" fillId="3" borderId="192" xfId="32" applyFont="1" applyFill="1" applyBorder="1" applyAlignment="1">
      <alignment horizontal="center" vertical="center" wrapText="1"/>
    </xf>
    <xf numFmtId="0" fontId="30" fillId="3" borderId="193" xfId="32" applyFont="1" applyFill="1" applyBorder="1" applyAlignment="1">
      <alignment horizontal="center" vertical="center" wrapText="1"/>
    </xf>
    <xf numFmtId="0" fontId="30" fillId="3" borderId="194" xfId="32" applyFont="1" applyFill="1" applyBorder="1" applyAlignment="1">
      <alignment horizontal="center" vertical="center" wrapText="1"/>
    </xf>
    <xf numFmtId="0" fontId="30" fillId="0" borderId="191" xfId="32" applyFont="1" applyBorder="1" applyAlignment="1">
      <alignment horizontal="center" vertical="center"/>
    </xf>
  </cellXfs>
  <cellStyles count="1328">
    <cellStyle name="Excel Built-in Normal" xfId="1" xr:uid="{00000000-0005-0000-0000-000000000000}"/>
    <cellStyle name="Įprastas" xfId="0" builtinId="0"/>
    <cellStyle name="Įprastas 2" xfId="2" xr:uid="{00000000-0005-0000-0000-000002000000}"/>
    <cellStyle name="Įprastas 2 2" xfId="3" xr:uid="{00000000-0005-0000-0000-000003000000}"/>
    <cellStyle name="Įprastas 3" xfId="4" xr:uid="{00000000-0005-0000-0000-000004000000}"/>
    <cellStyle name="Įprastas 4" xfId="5" xr:uid="{00000000-0005-0000-0000-000005000000}"/>
    <cellStyle name="Įprastas 4 2" xfId="6" xr:uid="{00000000-0005-0000-0000-000006000000}"/>
    <cellStyle name="Įprastas 4 3" xfId="10" xr:uid="{00000000-0005-0000-0000-000007000000}"/>
    <cellStyle name="Įprastas 4 3 2" xfId="11" xr:uid="{00000000-0005-0000-0000-000008000000}"/>
    <cellStyle name="Įprastas 4 3_8 -ES projektai" xfId="12" xr:uid="{00000000-0005-0000-0000-000009000000}"/>
    <cellStyle name="Įprastas 4_5-prpgramos" xfId="7" xr:uid="{00000000-0005-0000-0000-00000A000000}"/>
    <cellStyle name="Įprastas 5" xfId="8" xr:uid="{00000000-0005-0000-0000-00000B000000}"/>
    <cellStyle name="Įprastas 5 10" xfId="35" xr:uid="{00000000-0005-0000-0000-00000C000000}"/>
    <cellStyle name="Įprastas 5 10 2" xfId="620" xr:uid="{00000000-0005-0000-0000-00000D000000}"/>
    <cellStyle name="Įprastas 5 10_8 priedas" xfId="1061" xr:uid="{00000000-0005-0000-0000-00000E000000}"/>
    <cellStyle name="Įprastas 5 11" xfId="36" xr:uid="{00000000-0005-0000-0000-00000F000000}"/>
    <cellStyle name="Įprastas 5 11 2" xfId="764" xr:uid="{00000000-0005-0000-0000-000010000000}"/>
    <cellStyle name="Įprastas 5 11_8 priedas" xfId="1286" xr:uid="{00000000-0005-0000-0000-000011000000}"/>
    <cellStyle name="Įprastas 5 12" xfId="476" xr:uid="{00000000-0005-0000-0000-000012000000}"/>
    <cellStyle name="Įprastas 5 2" xfId="14" xr:uid="{00000000-0005-0000-0000-000013000000}"/>
    <cellStyle name="Įprastas 5 2 10" xfId="37" xr:uid="{00000000-0005-0000-0000-000014000000}"/>
    <cellStyle name="Įprastas 5 2 10 2" xfId="765" xr:uid="{00000000-0005-0000-0000-000015000000}"/>
    <cellStyle name="Įprastas 5 2 10_8 priedas" xfId="1014" xr:uid="{00000000-0005-0000-0000-000016000000}"/>
    <cellStyle name="Įprastas 5 2 11" xfId="477" xr:uid="{00000000-0005-0000-0000-000017000000}"/>
    <cellStyle name="Įprastas 5 2 2" xfId="15" xr:uid="{00000000-0005-0000-0000-000018000000}"/>
    <cellStyle name="Įprastas 5 2 2 2" xfId="25" xr:uid="{00000000-0005-0000-0000-000019000000}"/>
    <cellStyle name="Įprastas 5 2 2 2 2" xfId="39" xr:uid="{00000000-0005-0000-0000-00001A000000}"/>
    <cellStyle name="Įprastas 5 2 2 2 2 2" xfId="40" xr:uid="{00000000-0005-0000-0000-00001B000000}"/>
    <cellStyle name="Įprastas 5 2 2 2 2 2 2" xfId="41" xr:uid="{00000000-0005-0000-0000-00001C000000}"/>
    <cellStyle name="Įprastas 5 2 2 2 2 2 2 2" xfId="42" xr:uid="{00000000-0005-0000-0000-00001D000000}"/>
    <cellStyle name="Įprastas 5 2 2 2 2 2 2 2 2" xfId="713" xr:uid="{00000000-0005-0000-0000-00001E000000}"/>
    <cellStyle name="Įprastas 5 2 2 2 2 2 2 2_8 priedas" xfId="1060" xr:uid="{00000000-0005-0000-0000-00001F000000}"/>
    <cellStyle name="Įprastas 5 2 2 2 2 2 2 3" xfId="43" xr:uid="{00000000-0005-0000-0000-000020000000}"/>
    <cellStyle name="Įprastas 5 2 2 2 2 2 2 3 2" xfId="857" xr:uid="{00000000-0005-0000-0000-000021000000}"/>
    <cellStyle name="Įprastas 5 2 2 2 2 2 2 3_8 priedas" xfId="1285" xr:uid="{00000000-0005-0000-0000-000022000000}"/>
    <cellStyle name="Įprastas 5 2 2 2 2 2 2 4" xfId="569" xr:uid="{00000000-0005-0000-0000-000023000000}"/>
    <cellStyle name="Įprastas 5 2 2 2 2 2 2_8 priedas" xfId="1195" xr:uid="{00000000-0005-0000-0000-000024000000}"/>
    <cellStyle name="Įprastas 5 2 2 2 2 2 3" xfId="44" xr:uid="{00000000-0005-0000-0000-000025000000}"/>
    <cellStyle name="Įprastas 5 2 2 2 2 2 3 2" xfId="45" xr:uid="{00000000-0005-0000-0000-000026000000}"/>
    <cellStyle name="Įprastas 5 2 2 2 2 2 3 2 2" xfId="761" xr:uid="{00000000-0005-0000-0000-000027000000}"/>
    <cellStyle name="Įprastas 5 2 2 2 2 2 3 2_8 priedas" xfId="1013" xr:uid="{00000000-0005-0000-0000-000028000000}"/>
    <cellStyle name="Įprastas 5 2 2 2 2 2 3 3" xfId="46" xr:uid="{00000000-0005-0000-0000-000029000000}"/>
    <cellStyle name="Įprastas 5 2 2 2 2 2 3 3 2" xfId="905" xr:uid="{00000000-0005-0000-0000-00002A000000}"/>
    <cellStyle name="Įprastas 5 2 2 2 2 2 3 3_8 priedas" xfId="1239" xr:uid="{00000000-0005-0000-0000-00002B000000}"/>
    <cellStyle name="Įprastas 5 2 2 2 2 2 3 4" xfId="617" xr:uid="{00000000-0005-0000-0000-00002C000000}"/>
    <cellStyle name="Įprastas 5 2 2 2 2 2 3_8 priedas" xfId="1149" xr:uid="{00000000-0005-0000-0000-00002D000000}"/>
    <cellStyle name="Įprastas 5 2 2 2 2 2 4" xfId="47" xr:uid="{00000000-0005-0000-0000-00002E000000}"/>
    <cellStyle name="Įprastas 5 2 2 2 2 2 4 2" xfId="665" xr:uid="{00000000-0005-0000-0000-00002F000000}"/>
    <cellStyle name="Įprastas 5 2 2 2 2 2 4_8 priedas" xfId="1109" xr:uid="{00000000-0005-0000-0000-000030000000}"/>
    <cellStyle name="Įprastas 5 2 2 2 2 2 5" xfId="48" xr:uid="{00000000-0005-0000-0000-000031000000}"/>
    <cellStyle name="Įprastas 5 2 2 2 2 2 5 2" xfId="809" xr:uid="{00000000-0005-0000-0000-000032000000}"/>
    <cellStyle name="Įprastas 5 2 2 2 2 2 5_8 priedas" xfId="972" xr:uid="{00000000-0005-0000-0000-000033000000}"/>
    <cellStyle name="Įprastas 5 2 2 2 2 2 6" xfId="521" xr:uid="{00000000-0005-0000-0000-000034000000}"/>
    <cellStyle name="Įprastas 5 2 2 2 2 2_8 priedas" xfId="913" xr:uid="{00000000-0005-0000-0000-000035000000}"/>
    <cellStyle name="Įprastas 5 2 2 2 2 3" xfId="49" xr:uid="{00000000-0005-0000-0000-000036000000}"/>
    <cellStyle name="Įprastas 5 2 2 2 2 3 2" xfId="50" xr:uid="{00000000-0005-0000-0000-000037000000}"/>
    <cellStyle name="Įprastas 5 2 2 2 2 3 2 2" xfId="689" xr:uid="{00000000-0005-0000-0000-000038000000}"/>
    <cellStyle name="Įprastas 5 2 2 2 2 3 2_8 priedas" xfId="925" xr:uid="{00000000-0005-0000-0000-000039000000}"/>
    <cellStyle name="Įprastas 5 2 2 2 2 3 3" xfId="51" xr:uid="{00000000-0005-0000-0000-00003A000000}"/>
    <cellStyle name="Įprastas 5 2 2 2 2 3 3 2" xfId="833" xr:uid="{00000000-0005-0000-0000-00003B000000}"/>
    <cellStyle name="Įprastas 5 2 2 2 2 3 3_8 priedas" xfId="924" xr:uid="{00000000-0005-0000-0000-00003C000000}"/>
    <cellStyle name="Įprastas 5 2 2 2 2 3 4" xfId="545" xr:uid="{00000000-0005-0000-0000-00003D000000}"/>
    <cellStyle name="Įprastas 5 2 2 2 2 3_8 priedas" xfId="912" xr:uid="{00000000-0005-0000-0000-00003E000000}"/>
    <cellStyle name="Įprastas 5 2 2 2 2 4" xfId="52" xr:uid="{00000000-0005-0000-0000-00003F000000}"/>
    <cellStyle name="Įprastas 5 2 2 2 2 4 2" xfId="53" xr:uid="{00000000-0005-0000-0000-000040000000}"/>
    <cellStyle name="Įprastas 5 2 2 2 2 4 2 2" xfId="737" xr:uid="{00000000-0005-0000-0000-000041000000}"/>
    <cellStyle name="Įprastas 5 2 2 2 2 4 2_8 priedas" xfId="1279" xr:uid="{00000000-0005-0000-0000-000042000000}"/>
    <cellStyle name="Įprastas 5 2 2 2 2 4 3" xfId="54" xr:uid="{00000000-0005-0000-0000-000043000000}"/>
    <cellStyle name="Įprastas 5 2 2 2 2 4 3 2" xfId="881" xr:uid="{00000000-0005-0000-0000-000044000000}"/>
    <cellStyle name="Įprastas 5 2 2 2 2 4 3_8 priedas" xfId="1143" xr:uid="{00000000-0005-0000-0000-000045000000}"/>
    <cellStyle name="Įprastas 5 2 2 2 2 4 4" xfId="593" xr:uid="{00000000-0005-0000-0000-000046000000}"/>
    <cellStyle name="Įprastas 5 2 2 2 2 4_8 priedas" xfId="908" xr:uid="{00000000-0005-0000-0000-000047000000}"/>
    <cellStyle name="Įprastas 5 2 2 2 2 5" xfId="55" xr:uid="{00000000-0005-0000-0000-000048000000}"/>
    <cellStyle name="Įprastas 5 2 2 2 2 5 2" xfId="641" xr:uid="{00000000-0005-0000-0000-000049000000}"/>
    <cellStyle name="Įprastas 5 2 2 2 2 5_8 priedas" xfId="1007" xr:uid="{00000000-0005-0000-0000-00004A000000}"/>
    <cellStyle name="Įprastas 5 2 2 2 2 6" xfId="56" xr:uid="{00000000-0005-0000-0000-00004B000000}"/>
    <cellStyle name="Įprastas 5 2 2 2 2 6 2" xfId="785" xr:uid="{00000000-0005-0000-0000-00004C000000}"/>
    <cellStyle name="Įprastas 5 2 2 2 2 6_8 priedas" xfId="1233" xr:uid="{00000000-0005-0000-0000-00004D000000}"/>
    <cellStyle name="Įprastas 5 2 2 2 2 7" xfId="497" xr:uid="{00000000-0005-0000-0000-00004E000000}"/>
    <cellStyle name="Įprastas 5 2 2 2 2_8 priedas" xfId="973" xr:uid="{00000000-0005-0000-0000-00004F000000}"/>
    <cellStyle name="Įprastas 5 2 2 2 3" xfId="57" xr:uid="{00000000-0005-0000-0000-000050000000}"/>
    <cellStyle name="Įprastas 5 2 2 2 3 2" xfId="58" xr:uid="{00000000-0005-0000-0000-000051000000}"/>
    <cellStyle name="Įprastas 5 2 2 2 3 2 2" xfId="59" xr:uid="{00000000-0005-0000-0000-000052000000}"/>
    <cellStyle name="Įprastas 5 2 2 2 3 2 2 2" xfId="701" xr:uid="{00000000-0005-0000-0000-000053000000}"/>
    <cellStyle name="Įprastas 5 2 2 2 3 2 2_8 priedas" xfId="1214" xr:uid="{00000000-0005-0000-0000-000054000000}"/>
    <cellStyle name="Įprastas 5 2 2 2 3 2 3" xfId="60" xr:uid="{00000000-0005-0000-0000-000055000000}"/>
    <cellStyle name="Įprastas 5 2 2 2 3 2 3 2" xfId="845" xr:uid="{00000000-0005-0000-0000-000056000000}"/>
    <cellStyle name="Įprastas 5 2 2 2 3 2 3_8 priedas" xfId="1080" xr:uid="{00000000-0005-0000-0000-000057000000}"/>
    <cellStyle name="Įprastas 5 2 2 2 3 2 4" xfId="557" xr:uid="{00000000-0005-0000-0000-000058000000}"/>
    <cellStyle name="Įprastas 5 2 2 2 3 2_8 priedas" xfId="966" xr:uid="{00000000-0005-0000-0000-000059000000}"/>
    <cellStyle name="Įprastas 5 2 2 2 3 3" xfId="61" xr:uid="{00000000-0005-0000-0000-00005A000000}"/>
    <cellStyle name="Įprastas 5 2 2 2 3 3 2" xfId="62" xr:uid="{00000000-0005-0000-0000-00005B000000}"/>
    <cellStyle name="Įprastas 5 2 2 2 3 3 2 2" xfId="749" xr:uid="{00000000-0005-0000-0000-00005C000000}"/>
    <cellStyle name="Įprastas 5 2 2 2 3 3 2_8 priedas" xfId="1168" xr:uid="{00000000-0005-0000-0000-00005D000000}"/>
    <cellStyle name="Įprastas 5 2 2 2 3 3 3" xfId="63" xr:uid="{00000000-0005-0000-0000-00005E000000}"/>
    <cellStyle name="Įprastas 5 2 2 2 3 3 3 2" xfId="893" xr:uid="{00000000-0005-0000-0000-00005F000000}"/>
    <cellStyle name="Įprastas 5 2 2 2 3 3 3_8 priedas" xfId="1032" xr:uid="{00000000-0005-0000-0000-000060000000}"/>
    <cellStyle name="Įprastas 5 2 2 2 3 3 4" xfId="605" xr:uid="{00000000-0005-0000-0000-000061000000}"/>
    <cellStyle name="Įprastas 5 2 2 2 3 3_8 priedas" xfId="1305" xr:uid="{00000000-0005-0000-0000-000062000000}"/>
    <cellStyle name="Įprastas 5 2 2 2 3 4" xfId="64" xr:uid="{00000000-0005-0000-0000-000063000000}"/>
    <cellStyle name="Įprastas 5 2 2 2 3 4 2" xfId="653" xr:uid="{00000000-0005-0000-0000-000064000000}"/>
    <cellStyle name="Įprastas 5 2 2 2 3 4_8 priedas" xfId="1256" xr:uid="{00000000-0005-0000-0000-000065000000}"/>
    <cellStyle name="Įprastas 5 2 2 2 3 5" xfId="65" xr:uid="{00000000-0005-0000-0000-000066000000}"/>
    <cellStyle name="Įprastas 5 2 2 2 3 5 2" xfId="797" xr:uid="{00000000-0005-0000-0000-000067000000}"/>
    <cellStyle name="Įprastas 5 2 2 2 3 5_8 priedas" xfId="1120" xr:uid="{00000000-0005-0000-0000-000068000000}"/>
    <cellStyle name="Įprastas 5 2 2 2 3 6" xfId="509" xr:uid="{00000000-0005-0000-0000-000069000000}"/>
    <cellStyle name="Įprastas 5 2 2 2 3_8 priedas" xfId="1103" xr:uid="{00000000-0005-0000-0000-00006A000000}"/>
    <cellStyle name="Įprastas 5 2 2 2 4" xfId="66" xr:uid="{00000000-0005-0000-0000-00006B000000}"/>
    <cellStyle name="Įprastas 5 2 2 2 4 2" xfId="67" xr:uid="{00000000-0005-0000-0000-00006C000000}"/>
    <cellStyle name="Įprastas 5 2 2 2 4 2 2" xfId="677" xr:uid="{00000000-0005-0000-0000-00006D000000}"/>
    <cellStyle name="Įprastas 5 2 2 2 4 2_8 priedas" xfId="943" xr:uid="{00000000-0005-0000-0000-00006E000000}"/>
    <cellStyle name="Įprastas 5 2 2 2 4 3" xfId="68" xr:uid="{00000000-0005-0000-0000-00006F000000}"/>
    <cellStyle name="Įprastas 5 2 2 2 4 3 2" xfId="821" xr:uid="{00000000-0005-0000-0000-000070000000}"/>
    <cellStyle name="Įprastas 5 2 2 2 4 3_8 priedas" xfId="1202" xr:uid="{00000000-0005-0000-0000-000071000000}"/>
    <cellStyle name="Įprastas 5 2 2 2 4 4" xfId="533" xr:uid="{00000000-0005-0000-0000-000072000000}"/>
    <cellStyle name="Įprastas 5 2 2 2 4_8 priedas" xfId="984" xr:uid="{00000000-0005-0000-0000-000073000000}"/>
    <cellStyle name="Įprastas 5 2 2 2 5" xfId="69" xr:uid="{00000000-0005-0000-0000-000074000000}"/>
    <cellStyle name="Įprastas 5 2 2 2 5 2" xfId="70" xr:uid="{00000000-0005-0000-0000-000075000000}"/>
    <cellStyle name="Įprastas 5 2 2 2 5 2 2" xfId="725" xr:uid="{00000000-0005-0000-0000-000076000000}"/>
    <cellStyle name="Įprastas 5 2 2 2 5 2_8 priedas" xfId="1293" xr:uid="{00000000-0005-0000-0000-000077000000}"/>
    <cellStyle name="Įprastas 5 2 2 2 5 3" xfId="71" xr:uid="{00000000-0005-0000-0000-000078000000}"/>
    <cellStyle name="Įprastas 5 2 2 2 5 3 2" xfId="869" xr:uid="{00000000-0005-0000-0000-000079000000}"/>
    <cellStyle name="Įprastas 5 2 2 2 5 3_8 priedas" xfId="1156" xr:uid="{00000000-0005-0000-0000-00007A000000}"/>
    <cellStyle name="Įprastas 5 2 2 2 5 4" xfId="581" xr:uid="{00000000-0005-0000-0000-00007B000000}"/>
    <cellStyle name="Įprastas 5 2 2 2 5_8 priedas" xfId="1068" xr:uid="{00000000-0005-0000-0000-00007C000000}"/>
    <cellStyle name="Įprastas 5 2 2 2 6" xfId="72" xr:uid="{00000000-0005-0000-0000-00007D000000}"/>
    <cellStyle name="Įprastas 5 2 2 2 6 2" xfId="629" xr:uid="{00000000-0005-0000-0000-00007E000000}"/>
    <cellStyle name="Įprastas 5 2 2 2 6_8 priedas" xfId="1021" xr:uid="{00000000-0005-0000-0000-00007F000000}"/>
    <cellStyle name="Įprastas 5 2 2 2 7" xfId="73" xr:uid="{00000000-0005-0000-0000-000080000000}"/>
    <cellStyle name="Įprastas 5 2 2 2 7 2" xfId="773" xr:uid="{00000000-0005-0000-0000-000081000000}"/>
    <cellStyle name="Įprastas 5 2 2 2 7_8 priedas" xfId="1246" xr:uid="{00000000-0005-0000-0000-000082000000}"/>
    <cellStyle name="Įprastas 5 2 2 2 8" xfId="485" xr:uid="{00000000-0005-0000-0000-000083000000}"/>
    <cellStyle name="Įprastas 5 2 2 2_8 priedas" xfId="38" xr:uid="{00000000-0005-0000-0000-000084000000}"/>
    <cellStyle name="Įprastas 5 2 2 3" xfId="74" xr:uid="{00000000-0005-0000-0000-000085000000}"/>
    <cellStyle name="Įprastas 5 2 2 3 2" xfId="75" xr:uid="{00000000-0005-0000-0000-000086000000}"/>
    <cellStyle name="Įprastas 5 2 2 3 2 2" xfId="76" xr:uid="{00000000-0005-0000-0000-000087000000}"/>
    <cellStyle name="Įprastas 5 2 2 3 2 2 2" xfId="77" xr:uid="{00000000-0005-0000-0000-000088000000}"/>
    <cellStyle name="Įprastas 5 2 2 3 2 2 2 2" xfId="706" xr:uid="{00000000-0005-0000-0000-000089000000}"/>
    <cellStyle name="Įprastas 5 2 2 3 2 2 2_8 priedas" xfId="1317" xr:uid="{00000000-0005-0000-0000-00008A000000}"/>
    <cellStyle name="Įprastas 5 2 2 3 2 2 3" xfId="78" xr:uid="{00000000-0005-0000-0000-00008B000000}"/>
    <cellStyle name="Įprastas 5 2 2 3 2 2 3 2" xfId="850" xr:uid="{00000000-0005-0000-0000-00008C000000}"/>
    <cellStyle name="Įprastas 5 2 2 3 2 2 3_8 priedas" xfId="1180" xr:uid="{00000000-0005-0000-0000-00008D000000}"/>
    <cellStyle name="Įprastas 5 2 2 3 2 2 4" xfId="562" xr:uid="{00000000-0005-0000-0000-00008E000000}"/>
    <cellStyle name="Įprastas 5 2 2 3 2 2_8 priedas" xfId="1092" xr:uid="{00000000-0005-0000-0000-00008F000000}"/>
    <cellStyle name="Įprastas 5 2 2 3 2 3" xfId="79" xr:uid="{00000000-0005-0000-0000-000090000000}"/>
    <cellStyle name="Įprastas 5 2 2 3 2 3 2" xfId="80" xr:uid="{00000000-0005-0000-0000-000091000000}"/>
    <cellStyle name="Įprastas 5 2 2 3 2 3 2 2" xfId="754" xr:uid="{00000000-0005-0000-0000-000092000000}"/>
    <cellStyle name="Įprastas 5 2 2 3 2 3 2_8 priedas" xfId="1268" xr:uid="{00000000-0005-0000-0000-000093000000}"/>
    <cellStyle name="Įprastas 5 2 2 3 2 3 3" xfId="81" xr:uid="{00000000-0005-0000-0000-000094000000}"/>
    <cellStyle name="Įprastas 5 2 2 3 2 3 3 2" xfId="898" xr:uid="{00000000-0005-0000-0000-000095000000}"/>
    <cellStyle name="Įprastas 5 2 2 3 2 3 3_8 priedas" xfId="1132" xr:uid="{00000000-0005-0000-0000-000096000000}"/>
    <cellStyle name="Įprastas 5 2 2 3 2 3 4" xfId="610" xr:uid="{00000000-0005-0000-0000-000097000000}"/>
    <cellStyle name="Įprastas 5 2 2 3 2 3_8 priedas" xfId="1044" xr:uid="{00000000-0005-0000-0000-000098000000}"/>
    <cellStyle name="Įprastas 5 2 2 3 2 4" xfId="82" xr:uid="{00000000-0005-0000-0000-000099000000}"/>
    <cellStyle name="Įprastas 5 2 2 3 2 4 2" xfId="658" xr:uid="{00000000-0005-0000-0000-00009A000000}"/>
    <cellStyle name="Įprastas 5 2 2 3 2 4_8 priedas" xfId="996" xr:uid="{00000000-0005-0000-0000-00009B000000}"/>
    <cellStyle name="Įprastas 5 2 2 3 2 5" xfId="83" xr:uid="{00000000-0005-0000-0000-00009C000000}"/>
    <cellStyle name="Įprastas 5 2 2 3 2 5 2" xfId="802" xr:uid="{00000000-0005-0000-0000-00009D000000}"/>
    <cellStyle name="Įprastas 5 2 2 3 2 5_8 priedas" xfId="955" xr:uid="{00000000-0005-0000-0000-00009E000000}"/>
    <cellStyle name="Įprastas 5 2 2 3 2 6" xfId="514" xr:uid="{00000000-0005-0000-0000-00009F000000}"/>
    <cellStyle name="Įprastas 5 2 2 3 2_8 priedas" xfId="1226" xr:uid="{00000000-0005-0000-0000-0000A0000000}"/>
    <cellStyle name="Įprastas 5 2 2 3 3" xfId="84" xr:uid="{00000000-0005-0000-0000-0000A1000000}"/>
    <cellStyle name="Įprastas 5 2 2 3 3 2" xfId="85" xr:uid="{00000000-0005-0000-0000-0000A2000000}"/>
    <cellStyle name="Įprastas 5 2 2 3 3 2 2" xfId="682" xr:uid="{00000000-0005-0000-0000-0000A3000000}"/>
    <cellStyle name="Įprastas 5 2 2 3 3 2_8 priedas" xfId="942" xr:uid="{00000000-0005-0000-0000-0000A4000000}"/>
    <cellStyle name="Įprastas 5 2 2 3 3 3" xfId="86" xr:uid="{00000000-0005-0000-0000-0000A5000000}"/>
    <cellStyle name="Įprastas 5 2 2 3 3 3 2" xfId="826" xr:uid="{00000000-0005-0000-0000-0000A6000000}"/>
    <cellStyle name="Įprastas 5 2 2 3 3 3_8 priedas" xfId="1196" xr:uid="{00000000-0005-0000-0000-0000A7000000}"/>
    <cellStyle name="Įprastas 5 2 2 3 3 4" xfId="538" xr:uid="{00000000-0005-0000-0000-0000A8000000}"/>
    <cellStyle name="Įprastas 5 2 2 3 3_8 priedas" xfId="926" xr:uid="{00000000-0005-0000-0000-0000A9000000}"/>
    <cellStyle name="Įprastas 5 2 2 3 4" xfId="87" xr:uid="{00000000-0005-0000-0000-0000AA000000}"/>
    <cellStyle name="Įprastas 5 2 2 3 4 2" xfId="88" xr:uid="{00000000-0005-0000-0000-0000AB000000}"/>
    <cellStyle name="Įprastas 5 2 2 3 4 2 2" xfId="730" xr:uid="{00000000-0005-0000-0000-0000AC000000}"/>
    <cellStyle name="Įprastas 5 2 2 3 4 2_8 priedas" xfId="1287" xr:uid="{00000000-0005-0000-0000-0000AD000000}"/>
    <cellStyle name="Įprastas 5 2 2 3 4 3" xfId="89" xr:uid="{00000000-0005-0000-0000-0000AE000000}"/>
    <cellStyle name="Įprastas 5 2 2 3 4 3 2" xfId="874" xr:uid="{00000000-0005-0000-0000-0000AF000000}"/>
    <cellStyle name="Įprastas 5 2 2 3 4 3_8 priedas" xfId="1150" xr:uid="{00000000-0005-0000-0000-0000B0000000}"/>
    <cellStyle name="Įprastas 5 2 2 3 4 4" xfId="586" xr:uid="{00000000-0005-0000-0000-0000B1000000}"/>
    <cellStyle name="Įprastas 5 2 2 3 4_8 priedas" xfId="1062" xr:uid="{00000000-0005-0000-0000-0000B2000000}"/>
    <cellStyle name="Įprastas 5 2 2 3 5" xfId="90" xr:uid="{00000000-0005-0000-0000-0000B3000000}"/>
    <cellStyle name="Įprastas 5 2 2 3 5 2" xfId="634" xr:uid="{00000000-0005-0000-0000-0000B4000000}"/>
    <cellStyle name="Įprastas 5 2 2 3 5_8 priedas" xfId="1015" xr:uid="{00000000-0005-0000-0000-0000B5000000}"/>
    <cellStyle name="Įprastas 5 2 2 3 6" xfId="91" xr:uid="{00000000-0005-0000-0000-0000B6000000}"/>
    <cellStyle name="Įprastas 5 2 2 3 6 2" xfId="778" xr:uid="{00000000-0005-0000-0000-0000B7000000}"/>
    <cellStyle name="Įprastas 5 2 2 3 6_8 priedas" xfId="1240" xr:uid="{00000000-0005-0000-0000-0000B8000000}"/>
    <cellStyle name="Įprastas 5 2 2 3 7" xfId="490" xr:uid="{00000000-0005-0000-0000-0000B9000000}"/>
    <cellStyle name="Įprastas 5 2 2 3_8 priedas" xfId="980" xr:uid="{00000000-0005-0000-0000-0000BA000000}"/>
    <cellStyle name="Įprastas 5 2 2 4" xfId="92" xr:uid="{00000000-0005-0000-0000-0000BB000000}"/>
    <cellStyle name="Įprastas 5 2 2 4 2" xfId="93" xr:uid="{00000000-0005-0000-0000-0000BC000000}"/>
    <cellStyle name="Įprastas 5 2 2 4 2 2" xfId="94" xr:uid="{00000000-0005-0000-0000-0000BD000000}"/>
    <cellStyle name="Įprastas 5 2 2 4 2 2 2" xfId="694" xr:uid="{00000000-0005-0000-0000-0000BE000000}"/>
    <cellStyle name="Įprastas 5 2 2 4 2 2_8 priedas" xfId="1220" xr:uid="{00000000-0005-0000-0000-0000BF000000}"/>
    <cellStyle name="Įprastas 5 2 2 4 2 3" xfId="95" xr:uid="{00000000-0005-0000-0000-0000C0000000}"/>
    <cellStyle name="Įprastas 5 2 2 4 2 3 2" xfId="838" xr:uid="{00000000-0005-0000-0000-0000C1000000}"/>
    <cellStyle name="Įprastas 5 2 2 4 2 3_8 priedas" xfId="1086" xr:uid="{00000000-0005-0000-0000-0000C2000000}"/>
    <cellStyle name="Įprastas 5 2 2 4 2 4" xfId="550" xr:uid="{00000000-0005-0000-0000-0000C3000000}"/>
    <cellStyle name="Įprastas 5 2 2 4 2_8 priedas" xfId="974" xr:uid="{00000000-0005-0000-0000-0000C4000000}"/>
    <cellStyle name="Įprastas 5 2 2 4 3" xfId="96" xr:uid="{00000000-0005-0000-0000-0000C5000000}"/>
    <cellStyle name="Įprastas 5 2 2 4 3 2" xfId="97" xr:uid="{00000000-0005-0000-0000-0000C6000000}"/>
    <cellStyle name="Įprastas 5 2 2 4 3 2 2" xfId="742" xr:uid="{00000000-0005-0000-0000-0000C7000000}"/>
    <cellStyle name="Įprastas 5 2 2 4 3 2_8 priedas" xfId="1174" xr:uid="{00000000-0005-0000-0000-0000C8000000}"/>
    <cellStyle name="Įprastas 5 2 2 4 3 3" xfId="98" xr:uid="{00000000-0005-0000-0000-0000C9000000}"/>
    <cellStyle name="Įprastas 5 2 2 4 3 3 2" xfId="886" xr:uid="{00000000-0005-0000-0000-0000CA000000}"/>
    <cellStyle name="Įprastas 5 2 2 4 3 3_8 priedas" xfId="1038" xr:uid="{00000000-0005-0000-0000-0000CB000000}"/>
    <cellStyle name="Įprastas 5 2 2 4 3 4" xfId="598" xr:uid="{00000000-0005-0000-0000-0000CC000000}"/>
    <cellStyle name="Įprastas 5 2 2 4 3_8 priedas" xfId="1311" xr:uid="{00000000-0005-0000-0000-0000CD000000}"/>
    <cellStyle name="Įprastas 5 2 2 4 4" xfId="99" xr:uid="{00000000-0005-0000-0000-0000CE000000}"/>
    <cellStyle name="Įprastas 5 2 2 4 4 2" xfId="646" xr:uid="{00000000-0005-0000-0000-0000CF000000}"/>
    <cellStyle name="Įprastas 5 2 2 4 4_8 priedas" xfId="1262" xr:uid="{00000000-0005-0000-0000-0000D0000000}"/>
    <cellStyle name="Įprastas 5 2 2 4 5" xfId="100" xr:uid="{00000000-0005-0000-0000-0000D1000000}"/>
    <cellStyle name="Įprastas 5 2 2 4 5 2" xfId="790" xr:uid="{00000000-0005-0000-0000-0000D2000000}"/>
    <cellStyle name="Įprastas 5 2 2 4 5_8 priedas" xfId="1126" xr:uid="{00000000-0005-0000-0000-0000D3000000}"/>
    <cellStyle name="Įprastas 5 2 2 4 6" xfId="502" xr:uid="{00000000-0005-0000-0000-0000D4000000}"/>
    <cellStyle name="Įprastas 5 2 2 4_8 priedas" xfId="1110" xr:uid="{00000000-0005-0000-0000-0000D5000000}"/>
    <cellStyle name="Įprastas 5 2 2 5" xfId="101" xr:uid="{00000000-0005-0000-0000-0000D6000000}"/>
    <cellStyle name="Įprastas 5 2 2 5 2" xfId="102" xr:uid="{00000000-0005-0000-0000-0000D7000000}"/>
    <cellStyle name="Įprastas 5 2 2 5 2 2" xfId="670" xr:uid="{00000000-0005-0000-0000-0000D8000000}"/>
    <cellStyle name="Įprastas 5 2 2 5 2_8 priedas" xfId="949" xr:uid="{00000000-0005-0000-0000-0000D9000000}"/>
    <cellStyle name="Įprastas 5 2 2 5 3" xfId="103" xr:uid="{00000000-0005-0000-0000-0000DA000000}"/>
    <cellStyle name="Įprastas 5 2 2 5 3 2" xfId="814" xr:uid="{00000000-0005-0000-0000-0000DB000000}"/>
    <cellStyle name="Įprastas 5 2 2 5 3_8 priedas" xfId="1208" xr:uid="{00000000-0005-0000-0000-0000DC000000}"/>
    <cellStyle name="Įprastas 5 2 2 5 4" xfId="526" xr:uid="{00000000-0005-0000-0000-0000DD000000}"/>
    <cellStyle name="Įprastas 5 2 2 5_8 priedas" xfId="990" xr:uid="{00000000-0005-0000-0000-0000DE000000}"/>
    <cellStyle name="Įprastas 5 2 2 6" xfId="104" xr:uid="{00000000-0005-0000-0000-0000DF000000}"/>
    <cellStyle name="Įprastas 5 2 2 6 2" xfId="105" xr:uid="{00000000-0005-0000-0000-0000E0000000}"/>
    <cellStyle name="Įprastas 5 2 2 6 2 2" xfId="718" xr:uid="{00000000-0005-0000-0000-0000E1000000}"/>
    <cellStyle name="Įprastas 5 2 2 6 2_8 priedas" xfId="1299" xr:uid="{00000000-0005-0000-0000-0000E2000000}"/>
    <cellStyle name="Įprastas 5 2 2 6 3" xfId="106" xr:uid="{00000000-0005-0000-0000-0000E3000000}"/>
    <cellStyle name="Įprastas 5 2 2 6 3 2" xfId="862" xr:uid="{00000000-0005-0000-0000-0000E4000000}"/>
    <cellStyle name="Įprastas 5 2 2 6 3_8 priedas" xfId="1162" xr:uid="{00000000-0005-0000-0000-0000E5000000}"/>
    <cellStyle name="Įprastas 5 2 2 6 4" xfId="574" xr:uid="{00000000-0005-0000-0000-0000E6000000}"/>
    <cellStyle name="Įprastas 5 2 2 6_8 priedas" xfId="1074" xr:uid="{00000000-0005-0000-0000-0000E7000000}"/>
    <cellStyle name="Įprastas 5 2 2 7" xfId="107" xr:uid="{00000000-0005-0000-0000-0000E8000000}"/>
    <cellStyle name="Įprastas 5 2 2 7 2" xfId="622" xr:uid="{00000000-0005-0000-0000-0000E9000000}"/>
    <cellStyle name="Įprastas 5 2 2 7_8 priedas" xfId="1027" xr:uid="{00000000-0005-0000-0000-0000EA000000}"/>
    <cellStyle name="Įprastas 5 2 2 8" xfId="108" xr:uid="{00000000-0005-0000-0000-0000EB000000}"/>
    <cellStyle name="Įprastas 5 2 2 8 2" xfId="766" xr:uid="{00000000-0005-0000-0000-0000EC000000}"/>
    <cellStyle name="Įprastas 5 2 2 8_8 priedas" xfId="1252" xr:uid="{00000000-0005-0000-0000-0000ED000000}"/>
    <cellStyle name="Įprastas 5 2 2 9" xfId="478" xr:uid="{00000000-0005-0000-0000-0000EE000000}"/>
    <cellStyle name="Įprastas 5 2 2_8 priedas" xfId="28" xr:uid="{00000000-0005-0000-0000-0000EF000000}"/>
    <cellStyle name="Įprastas 5 2 3" xfId="16" xr:uid="{00000000-0005-0000-0000-0000F0000000}"/>
    <cellStyle name="Įprastas 5 2 3 2" xfId="27" xr:uid="{00000000-0005-0000-0000-0000F1000000}"/>
    <cellStyle name="Įprastas 5 2 3 2 2" xfId="110" xr:uid="{00000000-0005-0000-0000-0000F2000000}"/>
    <cellStyle name="Įprastas 5 2 3 2 2 2" xfId="111" xr:uid="{00000000-0005-0000-0000-0000F3000000}"/>
    <cellStyle name="Įprastas 5 2 3 2 2 2 2" xfId="112" xr:uid="{00000000-0005-0000-0000-0000F4000000}"/>
    <cellStyle name="Įprastas 5 2 3 2 2 2 2 2" xfId="113" xr:uid="{00000000-0005-0000-0000-0000F5000000}"/>
    <cellStyle name="Įprastas 5 2 3 2 2 2 2 2 2" xfId="715" xr:uid="{00000000-0005-0000-0000-0000F6000000}"/>
    <cellStyle name="Įprastas 5 2 3 2 2 2 2 2_8 priedas" xfId="1050" xr:uid="{00000000-0005-0000-0000-0000F7000000}"/>
    <cellStyle name="Įprastas 5 2 3 2 2 2 2 3" xfId="114" xr:uid="{00000000-0005-0000-0000-0000F8000000}"/>
    <cellStyle name="Įprastas 5 2 3 2 2 2 2 3 2" xfId="859" xr:uid="{00000000-0005-0000-0000-0000F9000000}"/>
    <cellStyle name="Įprastas 5 2 3 2 2 2 2 3_8 priedas" xfId="1274" xr:uid="{00000000-0005-0000-0000-0000FA000000}"/>
    <cellStyle name="Įprastas 5 2 3 2 2 2 2 4" xfId="571" xr:uid="{00000000-0005-0000-0000-0000FB000000}"/>
    <cellStyle name="Įprastas 5 2 3 2 2 2 2_8 priedas" xfId="1186" xr:uid="{00000000-0005-0000-0000-0000FC000000}"/>
    <cellStyle name="Įprastas 5 2 3 2 2 2 3" xfId="115" xr:uid="{00000000-0005-0000-0000-0000FD000000}"/>
    <cellStyle name="Įprastas 5 2 3 2 2 2 3 2" xfId="116" xr:uid="{00000000-0005-0000-0000-0000FE000000}"/>
    <cellStyle name="Įprastas 5 2 3 2 2 2 3 2 2" xfId="763" xr:uid="{00000000-0005-0000-0000-0000FF000000}"/>
    <cellStyle name="Įprastas 5 2 3 2 2 2 3 2_8 priedas" xfId="1002" xr:uid="{00000000-0005-0000-0000-000000010000}"/>
    <cellStyle name="Įprastas 5 2 3 2 2 2 3 3" xfId="117" xr:uid="{00000000-0005-0000-0000-000001010000}"/>
    <cellStyle name="Įprastas 5 2 3 2 2 2 3 3 2" xfId="907" xr:uid="{00000000-0005-0000-0000-000002010000}"/>
    <cellStyle name="Įprastas 5 2 3 2 2 2 3 3_8 priedas" xfId="961" xr:uid="{00000000-0005-0000-0000-000003010000}"/>
    <cellStyle name="Įprastas 5 2 3 2 2 2 3 4" xfId="619" xr:uid="{00000000-0005-0000-0000-000004010000}"/>
    <cellStyle name="Įprastas 5 2 3 2 2 2 3_8 priedas" xfId="1138" xr:uid="{00000000-0005-0000-0000-000005010000}"/>
    <cellStyle name="Įprastas 5 2 3 2 2 2 4" xfId="118" xr:uid="{00000000-0005-0000-0000-000006010000}"/>
    <cellStyle name="Įprastas 5 2 3 2 2 2 4 2" xfId="667" xr:uid="{00000000-0005-0000-0000-000007010000}"/>
    <cellStyle name="Įprastas 5 2 3 2 2 2 4_8 priedas" xfId="932" xr:uid="{00000000-0005-0000-0000-000008010000}"/>
    <cellStyle name="Įprastas 5 2 3 2 2 2 5" xfId="119" xr:uid="{00000000-0005-0000-0000-000009010000}"/>
    <cellStyle name="Įprastas 5 2 3 2 2 2 5 2" xfId="811" xr:uid="{00000000-0005-0000-0000-00000A010000}"/>
    <cellStyle name="Įprastas 5 2 3 2 2 2 5_8 priedas" xfId="915" xr:uid="{00000000-0005-0000-0000-00000B010000}"/>
    <cellStyle name="Įprastas 5 2 3 2 2 2 6" xfId="523" xr:uid="{00000000-0005-0000-0000-00000C010000}"/>
    <cellStyle name="Įprastas 5 2 3 2 2 2_8 priedas" xfId="1323" xr:uid="{00000000-0005-0000-0000-00000D010000}"/>
    <cellStyle name="Įprastas 5 2 3 2 2 3" xfId="120" xr:uid="{00000000-0005-0000-0000-00000E010000}"/>
    <cellStyle name="Įprastas 5 2 3 2 2 3 2" xfId="121" xr:uid="{00000000-0005-0000-0000-00000F010000}"/>
    <cellStyle name="Įprastas 5 2 3 2 2 3 2 2" xfId="691" xr:uid="{00000000-0005-0000-0000-000010010000}"/>
    <cellStyle name="Įprastas 5 2 3 2 2 3 2_8 priedas" xfId="1194" xr:uid="{00000000-0005-0000-0000-000011010000}"/>
    <cellStyle name="Įprastas 5 2 3 2 2 3 3" xfId="122" xr:uid="{00000000-0005-0000-0000-000012010000}"/>
    <cellStyle name="Įprastas 5 2 3 2 2 3 3 2" xfId="835" xr:uid="{00000000-0005-0000-0000-000013010000}"/>
    <cellStyle name="Įprastas 5 2 3 2 2 3 3_8 priedas" xfId="1059" xr:uid="{00000000-0005-0000-0000-000014010000}"/>
    <cellStyle name="Įprastas 5 2 3 2 2 3 4" xfId="547" xr:uid="{00000000-0005-0000-0000-000015010000}"/>
    <cellStyle name="Įprastas 5 2 3 2 2 3_8 priedas" xfId="923" xr:uid="{00000000-0005-0000-0000-000016010000}"/>
    <cellStyle name="Įprastas 5 2 3 2 2 4" xfId="123" xr:uid="{00000000-0005-0000-0000-000017010000}"/>
    <cellStyle name="Įprastas 5 2 3 2 2 4 2" xfId="124" xr:uid="{00000000-0005-0000-0000-000018010000}"/>
    <cellStyle name="Įprastas 5 2 3 2 2 4 2 2" xfId="739" xr:uid="{00000000-0005-0000-0000-000019010000}"/>
    <cellStyle name="Įprastas 5 2 3 2 2 4 2_8 priedas" xfId="1148" xr:uid="{00000000-0005-0000-0000-00001A010000}"/>
    <cellStyle name="Įprastas 5 2 3 2 2 4 3" xfId="125" xr:uid="{00000000-0005-0000-0000-00001B010000}"/>
    <cellStyle name="Įprastas 5 2 3 2 2 4 3 2" xfId="883" xr:uid="{00000000-0005-0000-0000-00001C010000}"/>
    <cellStyle name="Įprastas 5 2 3 2 2 4 3_8 priedas" xfId="1012" xr:uid="{00000000-0005-0000-0000-00001D010000}"/>
    <cellStyle name="Įprastas 5 2 3 2 2 4 4" xfId="595" xr:uid="{00000000-0005-0000-0000-00001E010000}"/>
    <cellStyle name="Įprastas 5 2 3 2 2 4_8 priedas" xfId="1284" xr:uid="{00000000-0005-0000-0000-00001F010000}"/>
    <cellStyle name="Įprastas 5 2 3 2 2 5" xfId="126" xr:uid="{00000000-0005-0000-0000-000020010000}"/>
    <cellStyle name="Įprastas 5 2 3 2 2 5 2" xfId="643" xr:uid="{00000000-0005-0000-0000-000021010000}"/>
    <cellStyle name="Įprastas 5 2 3 2 2 5_8 priedas" xfId="1238" xr:uid="{00000000-0005-0000-0000-000022010000}"/>
    <cellStyle name="Įprastas 5 2 3 2 2 6" xfId="127" xr:uid="{00000000-0005-0000-0000-000023010000}"/>
    <cellStyle name="Įprastas 5 2 3 2 2 6 2" xfId="787" xr:uid="{00000000-0005-0000-0000-000024010000}"/>
    <cellStyle name="Įprastas 5 2 3 2 2 6_8 priedas" xfId="1108" xr:uid="{00000000-0005-0000-0000-000025010000}"/>
    <cellStyle name="Įprastas 5 2 3 2 2 7" xfId="499" xr:uid="{00000000-0005-0000-0000-000026010000}"/>
    <cellStyle name="Įprastas 5 2 3 2 2_8 priedas" xfId="1098" xr:uid="{00000000-0005-0000-0000-000027010000}"/>
    <cellStyle name="Įprastas 5 2 3 2 3" xfId="128" xr:uid="{00000000-0005-0000-0000-000028010000}"/>
    <cellStyle name="Įprastas 5 2 3 2 3 2" xfId="129" xr:uid="{00000000-0005-0000-0000-000029010000}"/>
    <cellStyle name="Įprastas 5 2 3 2 3 2 2" xfId="130" xr:uid="{00000000-0005-0000-0000-00002A010000}"/>
    <cellStyle name="Įprastas 5 2 3 2 3 2 2 2" xfId="703" xr:uid="{00000000-0005-0000-0000-00002B010000}"/>
    <cellStyle name="Įprastas 5 2 3 2 3 2 2_8 priedas" xfId="1085" xr:uid="{00000000-0005-0000-0000-00002C010000}"/>
    <cellStyle name="Įprastas 5 2 3 2 3 2 3" xfId="131" xr:uid="{00000000-0005-0000-0000-00002D010000}"/>
    <cellStyle name="Įprastas 5 2 3 2 3 2 3 2" xfId="847" xr:uid="{00000000-0005-0000-0000-00002E010000}"/>
    <cellStyle name="Įprastas 5 2 3 2 3 2 3_8 priedas" xfId="1310" xr:uid="{00000000-0005-0000-0000-00002F010000}"/>
    <cellStyle name="Įprastas 5 2 3 2 3 2 4" xfId="559" xr:uid="{00000000-0005-0000-0000-000030010000}"/>
    <cellStyle name="Įprastas 5 2 3 2 3 2_8 priedas" xfId="1219" xr:uid="{00000000-0005-0000-0000-000031010000}"/>
    <cellStyle name="Įprastas 5 2 3 2 3 3" xfId="132" xr:uid="{00000000-0005-0000-0000-000032010000}"/>
    <cellStyle name="Įprastas 5 2 3 2 3 3 2" xfId="133" xr:uid="{00000000-0005-0000-0000-000033010000}"/>
    <cellStyle name="Įprastas 5 2 3 2 3 3 2 2" xfId="751" xr:uid="{00000000-0005-0000-0000-000034010000}"/>
    <cellStyle name="Įprastas 5 2 3 2 3 3 2_8 priedas" xfId="1037" xr:uid="{00000000-0005-0000-0000-000035010000}"/>
    <cellStyle name="Įprastas 5 2 3 2 3 3 3" xfId="134" xr:uid="{00000000-0005-0000-0000-000036010000}"/>
    <cellStyle name="Įprastas 5 2 3 2 3 3 3 2" xfId="895" xr:uid="{00000000-0005-0000-0000-000037010000}"/>
    <cellStyle name="Įprastas 5 2 3 2 3 3 3_8 priedas" xfId="1261" xr:uid="{00000000-0005-0000-0000-000038010000}"/>
    <cellStyle name="Įprastas 5 2 3 2 3 3 4" xfId="607" xr:uid="{00000000-0005-0000-0000-000039010000}"/>
    <cellStyle name="Įprastas 5 2 3 2 3 3_8 priedas" xfId="1173" xr:uid="{00000000-0005-0000-0000-00003A010000}"/>
    <cellStyle name="Įprastas 5 2 3 2 3 4" xfId="135" xr:uid="{00000000-0005-0000-0000-00003B010000}"/>
    <cellStyle name="Įprastas 5 2 3 2 3 4 2" xfId="655" xr:uid="{00000000-0005-0000-0000-00003C010000}"/>
    <cellStyle name="Įprastas 5 2 3 2 3 4_8 priedas" xfId="1125" xr:uid="{00000000-0005-0000-0000-00003D010000}"/>
    <cellStyle name="Įprastas 5 2 3 2 3 5" xfId="136" xr:uid="{00000000-0005-0000-0000-00003E010000}"/>
    <cellStyle name="Įprastas 5 2 3 2 3 5 2" xfId="799" xr:uid="{00000000-0005-0000-0000-00003F010000}"/>
    <cellStyle name="Įprastas 5 2 3 2 3 5_8 priedas" xfId="989" xr:uid="{00000000-0005-0000-0000-000040010000}"/>
    <cellStyle name="Įprastas 5 2 3 2 3 6" xfId="511" xr:uid="{00000000-0005-0000-0000-000041010000}"/>
    <cellStyle name="Įprastas 5 2 3 2 3_8 priedas" xfId="971" xr:uid="{00000000-0005-0000-0000-000042010000}"/>
    <cellStyle name="Įprastas 5 2 3 2 4" xfId="137" xr:uid="{00000000-0005-0000-0000-000043010000}"/>
    <cellStyle name="Įprastas 5 2 3 2 4 2" xfId="138" xr:uid="{00000000-0005-0000-0000-000044010000}"/>
    <cellStyle name="Įprastas 5 2 3 2 4 2 2" xfId="679" xr:uid="{00000000-0005-0000-0000-000045010000}"/>
    <cellStyle name="Įprastas 5 2 3 2 4 2_8 priedas" xfId="1207" xr:uid="{00000000-0005-0000-0000-000046010000}"/>
    <cellStyle name="Įprastas 5 2 3 2 4 3" xfId="139" xr:uid="{00000000-0005-0000-0000-000047010000}"/>
    <cellStyle name="Įprastas 5 2 3 2 4 3 2" xfId="823" xr:uid="{00000000-0005-0000-0000-000048010000}"/>
    <cellStyle name="Įprastas 5 2 3 2 4 3_8 priedas" xfId="1073" xr:uid="{00000000-0005-0000-0000-000049010000}"/>
    <cellStyle name="Įprastas 5 2 3 2 4 4" xfId="535" xr:uid="{00000000-0005-0000-0000-00004A010000}"/>
    <cellStyle name="Įprastas 5 2 3 2 4_8 priedas" xfId="948" xr:uid="{00000000-0005-0000-0000-00004B010000}"/>
    <cellStyle name="Įprastas 5 2 3 2 5" xfId="140" xr:uid="{00000000-0005-0000-0000-00004C010000}"/>
    <cellStyle name="Įprastas 5 2 3 2 5 2" xfId="141" xr:uid="{00000000-0005-0000-0000-00004D010000}"/>
    <cellStyle name="Įprastas 5 2 3 2 5 2 2" xfId="727" xr:uid="{00000000-0005-0000-0000-00004E010000}"/>
    <cellStyle name="Įprastas 5 2 3 2 5 2_8 priedas" xfId="1161" xr:uid="{00000000-0005-0000-0000-00004F010000}"/>
    <cellStyle name="Įprastas 5 2 3 2 5 3" xfId="142" xr:uid="{00000000-0005-0000-0000-000050010000}"/>
    <cellStyle name="Įprastas 5 2 3 2 5 3 2" xfId="871" xr:uid="{00000000-0005-0000-0000-000051010000}"/>
    <cellStyle name="Įprastas 5 2 3 2 5 3_8 priedas" xfId="1026" xr:uid="{00000000-0005-0000-0000-000052010000}"/>
    <cellStyle name="Įprastas 5 2 3 2 5 4" xfId="583" xr:uid="{00000000-0005-0000-0000-000053010000}"/>
    <cellStyle name="Įprastas 5 2 3 2 5_8 priedas" xfId="1298" xr:uid="{00000000-0005-0000-0000-000054010000}"/>
    <cellStyle name="Įprastas 5 2 3 2 6" xfId="143" xr:uid="{00000000-0005-0000-0000-000055010000}"/>
    <cellStyle name="Įprastas 5 2 3 2 6 2" xfId="631" xr:uid="{00000000-0005-0000-0000-000056010000}"/>
    <cellStyle name="Įprastas 5 2 3 2 6_8 priedas" xfId="1251" xr:uid="{00000000-0005-0000-0000-000057010000}"/>
    <cellStyle name="Įprastas 5 2 3 2 7" xfId="144" xr:uid="{00000000-0005-0000-0000-000058010000}"/>
    <cellStyle name="Įprastas 5 2 3 2 7 2" xfId="775" xr:uid="{00000000-0005-0000-0000-000059010000}"/>
    <cellStyle name="Įprastas 5 2 3 2 7_8 priedas" xfId="1117" xr:uid="{00000000-0005-0000-0000-00005A010000}"/>
    <cellStyle name="Įprastas 5 2 3 2 8" xfId="487" xr:uid="{00000000-0005-0000-0000-00005B010000}"/>
    <cellStyle name="Įprastas 5 2 3 2_8 priedas" xfId="109" xr:uid="{00000000-0005-0000-0000-00005C010000}"/>
    <cellStyle name="Įprastas 5 2 3 3" xfId="145" xr:uid="{00000000-0005-0000-0000-00005D010000}"/>
    <cellStyle name="Įprastas 5 2 3 3 2" xfId="146" xr:uid="{00000000-0005-0000-0000-00005E010000}"/>
    <cellStyle name="Įprastas 5 2 3 3 2 2" xfId="147" xr:uid="{00000000-0005-0000-0000-00005F010000}"/>
    <cellStyle name="Įprastas 5 2 3 3 2 2 2" xfId="148" xr:uid="{00000000-0005-0000-0000-000060010000}"/>
    <cellStyle name="Įprastas 5 2 3 3 2 2 2 2" xfId="707" xr:uid="{00000000-0005-0000-0000-000061010000}"/>
    <cellStyle name="Įprastas 5 2 3 3 2 2 2_8 priedas" xfId="1185" xr:uid="{00000000-0005-0000-0000-000062010000}"/>
    <cellStyle name="Įprastas 5 2 3 3 2 2 3" xfId="149" xr:uid="{00000000-0005-0000-0000-000063010000}"/>
    <cellStyle name="Įprastas 5 2 3 3 2 2 3 2" xfId="851" xr:uid="{00000000-0005-0000-0000-000064010000}"/>
    <cellStyle name="Įprastas 5 2 3 3 2 2 3_8 priedas" xfId="1049" xr:uid="{00000000-0005-0000-0000-000065010000}"/>
    <cellStyle name="Įprastas 5 2 3 3 2 2 4" xfId="563" xr:uid="{00000000-0005-0000-0000-000066010000}"/>
    <cellStyle name="Įprastas 5 2 3 3 2 2_8 priedas" xfId="1322" xr:uid="{00000000-0005-0000-0000-000067010000}"/>
    <cellStyle name="Įprastas 5 2 3 3 2 3" xfId="150" xr:uid="{00000000-0005-0000-0000-000068010000}"/>
    <cellStyle name="Įprastas 5 2 3 3 2 3 2" xfId="151" xr:uid="{00000000-0005-0000-0000-000069010000}"/>
    <cellStyle name="Įprastas 5 2 3 3 2 3 2 2" xfId="755" xr:uid="{00000000-0005-0000-0000-00006A010000}"/>
    <cellStyle name="Įprastas 5 2 3 3 2 3 2_8 priedas" xfId="1137" xr:uid="{00000000-0005-0000-0000-00006B010000}"/>
    <cellStyle name="Įprastas 5 2 3 3 2 3 3" xfId="152" xr:uid="{00000000-0005-0000-0000-00006C010000}"/>
    <cellStyle name="Įprastas 5 2 3 3 2 3 3 2" xfId="899" xr:uid="{00000000-0005-0000-0000-00006D010000}"/>
    <cellStyle name="Įprastas 5 2 3 3 2 3 3_8 priedas" xfId="1001" xr:uid="{00000000-0005-0000-0000-00006E010000}"/>
    <cellStyle name="Įprastas 5 2 3 3 2 3 4" xfId="611" xr:uid="{00000000-0005-0000-0000-00006F010000}"/>
    <cellStyle name="Įprastas 5 2 3 3 2 3_8 priedas" xfId="1273" xr:uid="{00000000-0005-0000-0000-000070010000}"/>
    <cellStyle name="Įprastas 5 2 3 3 2 4" xfId="153" xr:uid="{00000000-0005-0000-0000-000071010000}"/>
    <cellStyle name="Įprastas 5 2 3 3 2 4 2" xfId="659" xr:uid="{00000000-0005-0000-0000-000072010000}"/>
    <cellStyle name="Įprastas 5 2 3 3 2 4_8 priedas" xfId="960" xr:uid="{00000000-0005-0000-0000-000073010000}"/>
    <cellStyle name="Įprastas 5 2 3 3 2 5" xfId="154" xr:uid="{00000000-0005-0000-0000-000074010000}"/>
    <cellStyle name="Įprastas 5 2 3 3 2 5 2" xfId="803" xr:uid="{00000000-0005-0000-0000-000075010000}"/>
    <cellStyle name="Įprastas 5 2 3 3 2 5_8 priedas" xfId="931" xr:uid="{00000000-0005-0000-0000-000076010000}"/>
    <cellStyle name="Įprastas 5 2 3 3 2 6" xfId="515" xr:uid="{00000000-0005-0000-0000-000077010000}"/>
    <cellStyle name="Įprastas 5 2 3 3 2_8 priedas" xfId="1097" xr:uid="{00000000-0005-0000-0000-000078010000}"/>
    <cellStyle name="Įprastas 5 2 3 3 3" xfId="155" xr:uid="{00000000-0005-0000-0000-000079010000}"/>
    <cellStyle name="Įprastas 5 2 3 3 3 2" xfId="156" xr:uid="{00000000-0005-0000-0000-00007A010000}"/>
    <cellStyle name="Įprastas 5 2 3 3 3 2 2" xfId="683" xr:uid="{00000000-0005-0000-0000-00007B010000}"/>
    <cellStyle name="Įprastas 5 2 3 3 3 2_8 priedas" xfId="1200" xr:uid="{00000000-0005-0000-0000-00007C010000}"/>
    <cellStyle name="Įprastas 5 2 3 3 3 3" xfId="157" xr:uid="{00000000-0005-0000-0000-00007D010000}"/>
    <cellStyle name="Įprastas 5 2 3 3 3 3 2" xfId="827" xr:uid="{00000000-0005-0000-0000-00007E010000}"/>
    <cellStyle name="Įprastas 5 2 3 3 3 3_8 priedas" xfId="1066" xr:uid="{00000000-0005-0000-0000-00007F010000}"/>
    <cellStyle name="Įprastas 5 2 3 3 3 4" xfId="539" xr:uid="{00000000-0005-0000-0000-000080010000}"/>
    <cellStyle name="Įprastas 5 2 3 3 3_8 priedas" xfId="941" xr:uid="{00000000-0005-0000-0000-000081010000}"/>
    <cellStyle name="Įprastas 5 2 3 3 4" xfId="158" xr:uid="{00000000-0005-0000-0000-000082010000}"/>
    <cellStyle name="Įprastas 5 2 3 3 4 2" xfId="159" xr:uid="{00000000-0005-0000-0000-000083010000}"/>
    <cellStyle name="Įprastas 5 2 3 3 4 2 2" xfId="731" xr:uid="{00000000-0005-0000-0000-000084010000}"/>
    <cellStyle name="Įprastas 5 2 3 3 4 2_8 priedas" xfId="1154" xr:uid="{00000000-0005-0000-0000-000085010000}"/>
    <cellStyle name="Įprastas 5 2 3 3 4 3" xfId="160" xr:uid="{00000000-0005-0000-0000-000086010000}"/>
    <cellStyle name="Įprastas 5 2 3 3 4 3 2" xfId="875" xr:uid="{00000000-0005-0000-0000-000087010000}"/>
    <cellStyle name="Įprastas 5 2 3 3 4 3_8 priedas" xfId="1019" xr:uid="{00000000-0005-0000-0000-000088010000}"/>
    <cellStyle name="Įprastas 5 2 3 3 4 4" xfId="587" xr:uid="{00000000-0005-0000-0000-000089010000}"/>
    <cellStyle name="Įprastas 5 2 3 3 4_8 priedas" xfId="1291" xr:uid="{00000000-0005-0000-0000-00008A010000}"/>
    <cellStyle name="Įprastas 5 2 3 3 5" xfId="161" xr:uid="{00000000-0005-0000-0000-00008B010000}"/>
    <cellStyle name="Įprastas 5 2 3 3 5 2" xfId="635" xr:uid="{00000000-0005-0000-0000-00008C010000}"/>
    <cellStyle name="Įprastas 5 2 3 3 5_8 priedas" xfId="1244" xr:uid="{00000000-0005-0000-0000-00008D010000}"/>
    <cellStyle name="Įprastas 5 2 3 3 6" xfId="162" xr:uid="{00000000-0005-0000-0000-00008E010000}"/>
    <cellStyle name="Įprastas 5 2 3 3 6 2" xfId="779" xr:uid="{00000000-0005-0000-0000-00008F010000}"/>
    <cellStyle name="Įprastas 5 2 3 3 6_8 priedas" xfId="1114" xr:uid="{00000000-0005-0000-0000-000090010000}"/>
    <cellStyle name="Įprastas 5 2 3 3 7" xfId="491" xr:uid="{00000000-0005-0000-0000-000091010000}"/>
    <cellStyle name="Įprastas 5 2 3 3_8 priedas" xfId="1231" xr:uid="{00000000-0005-0000-0000-000092010000}"/>
    <cellStyle name="Įprastas 5 2 3 4" xfId="163" xr:uid="{00000000-0005-0000-0000-000093010000}"/>
    <cellStyle name="Įprastas 5 2 3 4 2" xfId="164" xr:uid="{00000000-0005-0000-0000-000094010000}"/>
    <cellStyle name="Įprastas 5 2 3 4 2 2" xfId="165" xr:uid="{00000000-0005-0000-0000-000095010000}"/>
    <cellStyle name="Įprastas 5 2 3 4 2 2 2" xfId="695" xr:uid="{00000000-0005-0000-0000-000096010000}"/>
    <cellStyle name="Įprastas 5 2 3 4 2 2_8 priedas" xfId="1090" xr:uid="{00000000-0005-0000-0000-000097010000}"/>
    <cellStyle name="Įprastas 5 2 3 4 2 3" xfId="166" xr:uid="{00000000-0005-0000-0000-000098010000}"/>
    <cellStyle name="Įprastas 5 2 3 4 2 3 2" xfId="839" xr:uid="{00000000-0005-0000-0000-000099010000}"/>
    <cellStyle name="Įprastas 5 2 3 4 2 3_8 priedas" xfId="1315" xr:uid="{00000000-0005-0000-0000-00009A010000}"/>
    <cellStyle name="Įprastas 5 2 3 4 2 4" xfId="551" xr:uid="{00000000-0005-0000-0000-00009B010000}"/>
    <cellStyle name="Įprastas 5 2 3 4 2_8 priedas" xfId="1224" xr:uid="{00000000-0005-0000-0000-00009C010000}"/>
    <cellStyle name="Įprastas 5 2 3 4 3" xfId="167" xr:uid="{00000000-0005-0000-0000-00009D010000}"/>
    <cellStyle name="Įprastas 5 2 3 4 3 2" xfId="168" xr:uid="{00000000-0005-0000-0000-00009E010000}"/>
    <cellStyle name="Įprastas 5 2 3 4 3 2 2" xfId="743" xr:uid="{00000000-0005-0000-0000-00009F010000}"/>
    <cellStyle name="Įprastas 5 2 3 4 3 2_8 priedas" xfId="1042" xr:uid="{00000000-0005-0000-0000-0000A0010000}"/>
    <cellStyle name="Įprastas 5 2 3 4 3 3" xfId="169" xr:uid="{00000000-0005-0000-0000-0000A1010000}"/>
    <cellStyle name="Įprastas 5 2 3 4 3 3 2" xfId="887" xr:uid="{00000000-0005-0000-0000-0000A2010000}"/>
    <cellStyle name="Įprastas 5 2 3 4 3 3_8 priedas" xfId="1266" xr:uid="{00000000-0005-0000-0000-0000A3010000}"/>
    <cellStyle name="Įprastas 5 2 3 4 3 4" xfId="599" xr:uid="{00000000-0005-0000-0000-0000A4010000}"/>
    <cellStyle name="Įprastas 5 2 3 4 3_8 priedas" xfId="1178" xr:uid="{00000000-0005-0000-0000-0000A5010000}"/>
    <cellStyle name="Įprastas 5 2 3 4 4" xfId="170" xr:uid="{00000000-0005-0000-0000-0000A6010000}"/>
    <cellStyle name="Įprastas 5 2 3 4 4 2" xfId="647" xr:uid="{00000000-0005-0000-0000-0000A7010000}"/>
    <cellStyle name="Įprastas 5 2 3 4 4_8 priedas" xfId="1130" xr:uid="{00000000-0005-0000-0000-0000A8010000}"/>
    <cellStyle name="Įprastas 5 2 3 4 5" xfId="171" xr:uid="{00000000-0005-0000-0000-0000A9010000}"/>
    <cellStyle name="Įprastas 5 2 3 4 5 2" xfId="791" xr:uid="{00000000-0005-0000-0000-0000AA010000}"/>
    <cellStyle name="Įprastas 5 2 3 4 5_8 priedas" xfId="994" xr:uid="{00000000-0005-0000-0000-0000AB010000}"/>
    <cellStyle name="Įprastas 5 2 3 4 6" xfId="503" xr:uid="{00000000-0005-0000-0000-0000AC010000}"/>
    <cellStyle name="Įprastas 5 2 3 4_8 priedas" xfId="978" xr:uid="{00000000-0005-0000-0000-0000AD010000}"/>
    <cellStyle name="Įprastas 5 2 3 5" xfId="172" xr:uid="{00000000-0005-0000-0000-0000AE010000}"/>
    <cellStyle name="Įprastas 5 2 3 5 2" xfId="173" xr:uid="{00000000-0005-0000-0000-0000AF010000}"/>
    <cellStyle name="Įprastas 5 2 3 5 2 2" xfId="671" xr:uid="{00000000-0005-0000-0000-0000B0010000}"/>
    <cellStyle name="Įprastas 5 2 3 5 2_8 priedas" xfId="1212" xr:uid="{00000000-0005-0000-0000-0000B1010000}"/>
    <cellStyle name="Įprastas 5 2 3 5 3" xfId="174" xr:uid="{00000000-0005-0000-0000-0000B2010000}"/>
    <cellStyle name="Įprastas 5 2 3 5 3 2" xfId="815" xr:uid="{00000000-0005-0000-0000-0000B3010000}"/>
    <cellStyle name="Įprastas 5 2 3 5 3_8 priedas" xfId="1078" xr:uid="{00000000-0005-0000-0000-0000B4010000}"/>
    <cellStyle name="Įprastas 5 2 3 5 4" xfId="527" xr:uid="{00000000-0005-0000-0000-0000B5010000}"/>
    <cellStyle name="Įprastas 5 2 3 5_8 priedas" xfId="953" xr:uid="{00000000-0005-0000-0000-0000B6010000}"/>
    <cellStyle name="Įprastas 5 2 3 6" xfId="175" xr:uid="{00000000-0005-0000-0000-0000B7010000}"/>
    <cellStyle name="Įprastas 5 2 3 6 2" xfId="176" xr:uid="{00000000-0005-0000-0000-0000B8010000}"/>
    <cellStyle name="Įprastas 5 2 3 6 2 2" xfId="719" xr:uid="{00000000-0005-0000-0000-0000B9010000}"/>
    <cellStyle name="Įprastas 5 2 3 6 2_8 priedas" xfId="1166" xr:uid="{00000000-0005-0000-0000-0000BA010000}"/>
    <cellStyle name="Įprastas 5 2 3 6 3" xfId="177" xr:uid="{00000000-0005-0000-0000-0000BB010000}"/>
    <cellStyle name="Įprastas 5 2 3 6 3 2" xfId="863" xr:uid="{00000000-0005-0000-0000-0000BC010000}"/>
    <cellStyle name="Įprastas 5 2 3 6 3_8 priedas" xfId="1030" xr:uid="{00000000-0005-0000-0000-0000BD010000}"/>
    <cellStyle name="Įprastas 5 2 3 6 4" xfId="575" xr:uid="{00000000-0005-0000-0000-0000BE010000}"/>
    <cellStyle name="Įprastas 5 2 3 6_8 priedas" xfId="1303" xr:uid="{00000000-0005-0000-0000-0000BF010000}"/>
    <cellStyle name="Įprastas 5 2 3 7" xfId="178" xr:uid="{00000000-0005-0000-0000-0000C0010000}"/>
    <cellStyle name="Įprastas 5 2 3 7 2" xfId="623" xr:uid="{00000000-0005-0000-0000-0000C1010000}"/>
    <cellStyle name="Įprastas 5 2 3 7_8 priedas" xfId="1254" xr:uid="{00000000-0005-0000-0000-0000C2010000}"/>
    <cellStyle name="Įprastas 5 2 3 8" xfId="179" xr:uid="{00000000-0005-0000-0000-0000C3010000}"/>
    <cellStyle name="Įprastas 5 2 3 8 2" xfId="767" xr:uid="{00000000-0005-0000-0000-0000C4010000}"/>
    <cellStyle name="Įprastas 5 2 3 8_8 priedas" xfId="1118" xr:uid="{00000000-0005-0000-0000-0000C5010000}"/>
    <cellStyle name="Įprastas 5 2 3 9" xfId="479" xr:uid="{00000000-0005-0000-0000-0000C6010000}"/>
    <cellStyle name="Įprastas 5 2 3_8 priedas" xfId="29" xr:uid="{00000000-0005-0000-0000-0000C7010000}"/>
    <cellStyle name="Įprastas 5 2 4" xfId="23" xr:uid="{00000000-0005-0000-0000-0000C8010000}"/>
    <cellStyle name="Įprastas 5 2 4 2" xfId="181" xr:uid="{00000000-0005-0000-0000-0000C9010000}"/>
    <cellStyle name="Įprastas 5 2 4 2 2" xfId="182" xr:uid="{00000000-0005-0000-0000-0000CA010000}"/>
    <cellStyle name="Įprastas 5 2 4 2 2 2" xfId="183" xr:uid="{00000000-0005-0000-0000-0000CB010000}"/>
    <cellStyle name="Įprastas 5 2 4 2 2 2 2" xfId="184" xr:uid="{00000000-0005-0000-0000-0000CC010000}"/>
    <cellStyle name="Įprastas 5 2 4 2 2 2 2 2" xfId="711" xr:uid="{00000000-0005-0000-0000-0000CD010000}"/>
    <cellStyle name="Įprastas 5 2 4 2 2 2 2_8 priedas" xfId="1053" xr:uid="{00000000-0005-0000-0000-0000CE010000}"/>
    <cellStyle name="Įprastas 5 2 4 2 2 2 3" xfId="185" xr:uid="{00000000-0005-0000-0000-0000CF010000}"/>
    <cellStyle name="Įprastas 5 2 4 2 2 2 3 2" xfId="855" xr:uid="{00000000-0005-0000-0000-0000D0010000}"/>
    <cellStyle name="Įprastas 5 2 4 2 2 2 3_8 priedas" xfId="1277" xr:uid="{00000000-0005-0000-0000-0000D1010000}"/>
    <cellStyle name="Įprastas 5 2 4 2 2 2 4" xfId="567" xr:uid="{00000000-0005-0000-0000-0000D2010000}"/>
    <cellStyle name="Įprastas 5 2 4 2 2 2_8 priedas" xfId="1189" xr:uid="{00000000-0005-0000-0000-0000D3010000}"/>
    <cellStyle name="Įprastas 5 2 4 2 2 3" xfId="186" xr:uid="{00000000-0005-0000-0000-0000D4010000}"/>
    <cellStyle name="Įprastas 5 2 4 2 2 3 2" xfId="187" xr:uid="{00000000-0005-0000-0000-0000D5010000}"/>
    <cellStyle name="Įprastas 5 2 4 2 2 3 2 2" xfId="759" xr:uid="{00000000-0005-0000-0000-0000D6010000}"/>
    <cellStyle name="Įprastas 5 2 4 2 2 3 2_8 priedas" xfId="1005" xr:uid="{00000000-0005-0000-0000-0000D7010000}"/>
    <cellStyle name="Įprastas 5 2 4 2 2 3 3" xfId="188" xr:uid="{00000000-0005-0000-0000-0000D8010000}"/>
    <cellStyle name="Įprastas 5 2 4 2 2 3 3 2" xfId="903" xr:uid="{00000000-0005-0000-0000-0000D9010000}"/>
    <cellStyle name="Įprastas 5 2 4 2 2 3 3_8 priedas" xfId="964" xr:uid="{00000000-0005-0000-0000-0000DA010000}"/>
    <cellStyle name="Įprastas 5 2 4 2 2 3 4" xfId="615" xr:uid="{00000000-0005-0000-0000-0000DB010000}"/>
    <cellStyle name="Įprastas 5 2 4 2 2 3_8 priedas" xfId="1141" xr:uid="{00000000-0005-0000-0000-0000DC010000}"/>
    <cellStyle name="Įprastas 5 2 4 2 2 4" xfId="189" xr:uid="{00000000-0005-0000-0000-0000DD010000}"/>
    <cellStyle name="Įprastas 5 2 4 2 2 4 2" xfId="663" xr:uid="{00000000-0005-0000-0000-0000DE010000}"/>
    <cellStyle name="Įprastas 5 2 4 2 2 4_8 priedas" xfId="935" xr:uid="{00000000-0005-0000-0000-0000DF010000}"/>
    <cellStyle name="Įprastas 5 2 4 2 2 5" xfId="190" xr:uid="{00000000-0005-0000-0000-0000E0010000}"/>
    <cellStyle name="Įprastas 5 2 4 2 2 5 2" xfId="807" xr:uid="{00000000-0005-0000-0000-0000E1010000}"/>
    <cellStyle name="Įprastas 5 2 4 2 2 5_8 priedas" xfId="918" xr:uid="{00000000-0005-0000-0000-0000E2010000}"/>
    <cellStyle name="Įprastas 5 2 4 2 2 6" xfId="519" xr:uid="{00000000-0005-0000-0000-0000E3010000}"/>
    <cellStyle name="Įprastas 5 2 4 2 2_8 priedas" xfId="1326" xr:uid="{00000000-0005-0000-0000-0000E4010000}"/>
    <cellStyle name="Įprastas 5 2 4 2 3" xfId="191" xr:uid="{00000000-0005-0000-0000-0000E5010000}"/>
    <cellStyle name="Įprastas 5 2 4 2 3 2" xfId="192" xr:uid="{00000000-0005-0000-0000-0000E6010000}"/>
    <cellStyle name="Įprastas 5 2 4 2 3 2 2" xfId="687" xr:uid="{00000000-0005-0000-0000-0000E7010000}"/>
    <cellStyle name="Įprastas 5 2 4 2 3 2_8 priedas" xfId="922" xr:uid="{00000000-0005-0000-0000-0000E8010000}"/>
    <cellStyle name="Įprastas 5 2 4 2 3 3" xfId="193" xr:uid="{00000000-0005-0000-0000-0000E9010000}"/>
    <cellStyle name="Įprastas 5 2 4 2 3 3 2" xfId="831" xr:uid="{00000000-0005-0000-0000-0000EA010000}"/>
    <cellStyle name="Įprastas 5 2 4 2 3 3_8 priedas" xfId="1193" xr:uid="{00000000-0005-0000-0000-0000EB010000}"/>
    <cellStyle name="Įprastas 5 2 4 2 3 4" xfId="543" xr:uid="{00000000-0005-0000-0000-0000EC010000}"/>
    <cellStyle name="Įprastas 5 2 4 2 3_8 priedas" xfId="911" xr:uid="{00000000-0005-0000-0000-0000ED010000}"/>
    <cellStyle name="Įprastas 5 2 4 2 4" xfId="194" xr:uid="{00000000-0005-0000-0000-0000EE010000}"/>
    <cellStyle name="Įprastas 5 2 4 2 4 2" xfId="195" xr:uid="{00000000-0005-0000-0000-0000EF010000}"/>
    <cellStyle name="Įprastas 5 2 4 2 4 2 2" xfId="735" xr:uid="{00000000-0005-0000-0000-0000F0010000}"/>
    <cellStyle name="Įprastas 5 2 4 2 4 2_8 priedas" xfId="1283" xr:uid="{00000000-0005-0000-0000-0000F1010000}"/>
    <cellStyle name="Įprastas 5 2 4 2 4 3" xfId="196" xr:uid="{00000000-0005-0000-0000-0000F2010000}"/>
    <cellStyle name="Įprastas 5 2 4 2 4 3 2" xfId="879" xr:uid="{00000000-0005-0000-0000-0000F3010000}"/>
    <cellStyle name="Įprastas 5 2 4 2 4 3_8 priedas" xfId="1147" xr:uid="{00000000-0005-0000-0000-0000F4010000}"/>
    <cellStyle name="Įprastas 5 2 4 2 4 4" xfId="591" xr:uid="{00000000-0005-0000-0000-0000F5010000}"/>
    <cellStyle name="Įprastas 5 2 4 2 4_8 priedas" xfId="1058" xr:uid="{00000000-0005-0000-0000-0000F6010000}"/>
    <cellStyle name="Įprastas 5 2 4 2 5" xfId="197" xr:uid="{00000000-0005-0000-0000-0000F7010000}"/>
    <cellStyle name="Įprastas 5 2 4 2 5 2" xfId="639" xr:uid="{00000000-0005-0000-0000-0000F8010000}"/>
    <cellStyle name="Įprastas 5 2 4 2 5_8 priedas" xfId="1011" xr:uid="{00000000-0005-0000-0000-0000F9010000}"/>
    <cellStyle name="Įprastas 5 2 4 2 6" xfId="198" xr:uid="{00000000-0005-0000-0000-0000FA010000}"/>
    <cellStyle name="Įprastas 5 2 4 2 6 2" xfId="783" xr:uid="{00000000-0005-0000-0000-0000FB010000}"/>
    <cellStyle name="Įprastas 5 2 4 2 6_8 priedas" xfId="1237" xr:uid="{00000000-0005-0000-0000-0000FC010000}"/>
    <cellStyle name="Įprastas 5 2 4 2 7" xfId="495" xr:uid="{00000000-0005-0000-0000-0000FD010000}"/>
    <cellStyle name="Įprastas 5 2 4 2_8 priedas" xfId="1101" xr:uid="{00000000-0005-0000-0000-0000FE010000}"/>
    <cellStyle name="Įprastas 5 2 4 3" xfId="199" xr:uid="{00000000-0005-0000-0000-0000FF010000}"/>
    <cellStyle name="Įprastas 5 2 4 3 2" xfId="200" xr:uid="{00000000-0005-0000-0000-000000020000}"/>
    <cellStyle name="Įprastas 5 2 4 3 2 2" xfId="201" xr:uid="{00000000-0005-0000-0000-000001020000}"/>
    <cellStyle name="Įprastas 5 2 4 3 2 2 2" xfId="699" xr:uid="{00000000-0005-0000-0000-000002020000}"/>
    <cellStyle name="Įprastas 5 2 4 3 2 2_8 priedas" xfId="1218" xr:uid="{00000000-0005-0000-0000-000003020000}"/>
    <cellStyle name="Įprastas 5 2 4 3 2 3" xfId="202" xr:uid="{00000000-0005-0000-0000-000004020000}"/>
    <cellStyle name="Įprastas 5 2 4 3 2 3 2" xfId="843" xr:uid="{00000000-0005-0000-0000-000005020000}"/>
    <cellStyle name="Įprastas 5 2 4 3 2 3_8 priedas" xfId="1084" xr:uid="{00000000-0005-0000-0000-000006020000}"/>
    <cellStyle name="Įprastas 5 2 4 3 2 4" xfId="555" xr:uid="{00000000-0005-0000-0000-000007020000}"/>
    <cellStyle name="Įprastas 5 2 4 3 2_8 priedas" xfId="970" xr:uid="{00000000-0005-0000-0000-000008020000}"/>
    <cellStyle name="Įprastas 5 2 4 3 3" xfId="203" xr:uid="{00000000-0005-0000-0000-000009020000}"/>
    <cellStyle name="Įprastas 5 2 4 3 3 2" xfId="204" xr:uid="{00000000-0005-0000-0000-00000A020000}"/>
    <cellStyle name="Įprastas 5 2 4 3 3 2 2" xfId="747" xr:uid="{00000000-0005-0000-0000-00000B020000}"/>
    <cellStyle name="Įprastas 5 2 4 3 3 2_8 priedas" xfId="1172" xr:uid="{00000000-0005-0000-0000-00000C020000}"/>
    <cellStyle name="Įprastas 5 2 4 3 3 3" xfId="205" xr:uid="{00000000-0005-0000-0000-00000D020000}"/>
    <cellStyle name="Įprastas 5 2 4 3 3 3 2" xfId="891" xr:uid="{00000000-0005-0000-0000-00000E020000}"/>
    <cellStyle name="Įprastas 5 2 4 3 3 3_8 priedas" xfId="1036" xr:uid="{00000000-0005-0000-0000-00000F020000}"/>
    <cellStyle name="Įprastas 5 2 4 3 3 4" xfId="603" xr:uid="{00000000-0005-0000-0000-000010020000}"/>
    <cellStyle name="Įprastas 5 2 4 3 3_8 priedas" xfId="1309" xr:uid="{00000000-0005-0000-0000-000011020000}"/>
    <cellStyle name="Įprastas 5 2 4 3 4" xfId="206" xr:uid="{00000000-0005-0000-0000-000012020000}"/>
    <cellStyle name="Įprastas 5 2 4 3 4 2" xfId="651" xr:uid="{00000000-0005-0000-0000-000013020000}"/>
    <cellStyle name="Įprastas 5 2 4 3 4_8 priedas" xfId="1260" xr:uid="{00000000-0005-0000-0000-000014020000}"/>
    <cellStyle name="Įprastas 5 2 4 3 5" xfId="207" xr:uid="{00000000-0005-0000-0000-000015020000}"/>
    <cellStyle name="Įprastas 5 2 4 3 5 2" xfId="795" xr:uid="{00000000-0005-0000-0000-000016020000}"/>
    <cellStyle name="Įprastas 5 2 4 3 5_8 priedas" xfId="1124" xr:uid="{00000000-0005-0000-0000-000017020000}"/>
    <cellStyle name="Įprastas 5 2 4 3 6" xfId="507" xr:uid="{00000000-0005-0000-0000-000018020000}"/>
    <cellStyle name="Įprastas 5 2 4 3_8 priedas" xfId="1107" xr:uid="{00000000-0005-0000-0000-000019020000}"/>
    <cellStyle name="Įprastas 5 2 4 4" xfId="208" xr:uid="{00000000-0005-0000-0000-00001A020000}"/>
    <cellStyle name="Įprastas 5 2 4 4 2" xfId="209" xr:uid="{00000000-0005-0000-0000-00001B020000}"/>
    <cellStyle name="Įprastas 5 2 4 4 2 2" xfId="675" xr:uid="{00000000-0005-0000-0000-00001C020000}"/>
    <cellStyle name="Įprastas 5 2 4 4 2_8 priedas" xfId="947" xr:uid="{00000000-0005-0000-0000-00001D020000}"/>
    <cellStyle name="Įprastas 5 2 4 4 3" xfId="210" xr:uid="{00000000-0005-0000-0000-00001E020000}"/>
    <cellStyle name="Įprastas 5 2 4 4 3 2" xfId="819" xr:uid="{00000000-0005-0000-0000-00001F020000}"/>
    <cellStyle name="Įprastas 5 2 4 4 3_8 priedas" xfId="1206" xr:uid="{00000000-0005-0000-0000-000020020000}"/>
    <cellStyle name="Įprastas 5 2 4 4 4" xfId="531" xr:uid="{00000000-0005-0000-0000-000021020000}"/>
    <cellStyle name="Įprastas 5 2 4 4_8 priedas" xfId="988" xr:uid="{00000000-0005-0000-0000-000022020000}"/>
    <cellStyle name="Įprastas 5 2 4 5" xfId="211" xr:uid="{00000000-0005-0000-0000-000023020000}"/>
    <cellStyle name="Įprastas 5 2 4 5 2" xfId="212" xr:uid="{00000000-0005-0000-0000-000024020000}"/>
    <cellStyle name="Įprastas 5 2 4 5 2 2" xfId="723" xr:uid="{00000000-0005-0000-0000-000025020000}"/>
    <cellStyle name="Įprastas 5 2 4 5 2_8 priedas" xfId="1297" xr:uid="{00000000-0005-0000-0000-000026020000}"/>
    <cellStyle name="Įprastas 5 2 4 5 3" xfId="213" xr:uid="{00000000-0005-0000-0000-000027020000}"/>
    <cellStyle name="Įprastas 5 2 4 5 3 2" xfId="867" xr:uid="{00000000-0005-0000-0000-000028020000}"/>
    <cellStyle name="Įprastas 5 2 4 5 3_8 priedas" xfId="1160" xr:uid="{00000000-0005-0000-0000-000029020000}"/>
    <cellStyle name="Įprastas 5 2 4 5 4" xfId="579" xr:uid="{00000000-0005-0000-0000-00002A020000}"/>
    <cellStyle name="Įprastas 5 2 4 5_8 priedas" xfId="1072" xr:uid="{00000000-0005-0000-0000-00002B020000}"/>
    <cellStyle name="Įprastas 5 2 4 6" xfId="214" xr:uid="{00000000-0005-0000-0000-00002C020000}"/>
    <cellStyle name="Įprastas 5 2 4 6 2" xfId="627" xr:uid="{00000000-0005-0000-0000-00002D020000}"/>
    <cellStyle name="Įprastas 5 2 4 6_8 priedas" xfId="1025" xr:uid="{00000000-0005-0000-0000-00002E020000}"/>
    <cellStyle name="Įprastas 5 2 4 7" xfId="215" xr:uid="{00000000-0005-0000-0000-00002F020000}"/>
    <cellStyle name="Įprastas 5 2 4 7 2" xfId="771" xr:uid="{00000000-0005-0000-0000-000030020000}"/>
    <cellStyle name="Įprastas 5 2 4 7_8 priedas" xfId="1250" xr:uid="{00000000-0005-0000-0000-000031020000}"/>
    <cellStyle name="Įprastas 5 2 4 8" xfId="483" xr:uid="{00000000-0005-0000-0000-000032020000}"/>
    <cellStyle name="Įprastas 5 2 4_8 priedas" xfId="180" xr:uid="{00000000-0005-0000-0000-000033020000}"/>
    <cellStyle name="Įprastas 5 2 5" xfId="216" xr:uid="{00000000-0005-0000-0000-000034020000}"/>
    <cellStyle name="Įprastas 5 2 5 2" xfId="217" xr:uid="{00000000-0005-0000-0000-000035020000}"/>
    <cellStyle name="Įprastas 5 2 5 2 2" xfId="218" xr:uid="{00000000-0005-0000-0000-000036020000}"/>
    <cellStyle name="Įprastas 5 2 5 2 2 2" xfId="219" xr:uid="{00000000-0005-0000-0000-000037020000}"/>
    <cellStyle name="Įprastas 5 2 5 2 2 2 2" xfId="705" xr:uid="{00000000-0005-0000-0000-000038020000}"/>
    <cellStyle name="Įprastas 5 2 5 2 2 2_8 priedas" xfId="1321" xr:uid="{00000000-0005-0000-0000-000039020000}"/>
    <cellStyle name="Įprastas 5 2 5 2 2 3" xfId="220" xr:uid="{00000000-0005-0000-0000-00003A020000}"/>
    <cellStyle name="Įprastas 5 2 5 2 2 3 2" xfId="849" xr:uid="{00000000-0005-0000-0000-00003B020000}"/>
    <cellStyle name="Įprastas 5 2 5 2 2 3_8 priedas" xfId="1184" xr:uid="{00000000-0005-0000-0000-00003C020000}"/>
    <cellStyle name="Įprastas 5 2 5 2 2 4" xfId="561" xr:uid="{00000000-0005-0000-0000-00003D020000}"/>
    <cellStyle name="Įprastas 5 2 5 2 2_8 priedas" xfId="1096" xr:uid="{00000000-0005-0000-0000-00003E020000}"/>
    <cellStyle name="Įprastas 5 2 5 2 3" xfId="221" xr:uid="{00000000-0005-0000-0000-00003F020000}"/>
    <cellStyle name="Įprastas 5 2 5 2 3 2" xfId="222" xr:uid="{00000000-0005-0000-0000-000040020000}"/>
    <cellStyle name="Įprastas 5 2 5 2 3 2 2" xfId="753" xr:uid="{00000000-0005-0000-0000-000041020000}"/>
    <cellStyle name="Įprastas 5 2 5 2 3 2_8 priedas" xfId="1272" xr:uid="{00000000-0005-0000-0000-000042020000}"/>
    <cellStyle name="Įprastas 5 2 5 2 3 3" xfId="223" xr:uid="{00000000-0005-0000-0000-000043020000}"/>
    <cellStyle name="Įprastas 5 2 5 2 3 3 2" xfId="897" xr:uid="{00000000-0005-0000-0000-000044020000}"/>
    <cellStyle name="Įprastas 5 2 5 2 3 3_8 priedas" xfId="1136" xr:uid="{00000000-0005-0000-0000-000045020000}"/>
    <cellStyle name="Įprastas 5 2 5 2 3 4" xfId="609" xr:uid="{00000000-0005-0000-0000-000046020000}"/>
    <cellStyle name="Įprastas 5 2 5 2 3_8 priedas" xfId="1048" xr:uid="{00000000-0005-0000-0000-000047020000}"/>
    <cellStyle name="Įprastas 5 2 5 2 4" xfId="224" xr:uid="{00000000-0005-0000-0000-000048020000}"/>
    <cellStyle name="Įprastas 5 2 5 2 4 2" xfId="657" xr:uid="{00000000-0005-0000-0000-000049020000}"/>
    <cellStyle name="Įprastas 5 2 5 2 4_8 priedas" xfId="1000" xr:uid="{00000000-0005-0000-0000-00004A020000}"/>
    <cellStyle name="Įprastas 5 2 5 2 5" xfId="225" xr:uid="{00000000-0005-0000-0000-00004B020000}"/>
    <cellStyle name="Įprastas 5 2 5 2 5 2" xfId="801" xr:uid="{00000000-0005-0000-0000-00004C020000}"/>
    <cellStyle name="Įprastas 5 2 5 2 5_8 priedas" xfId="959" xr:uid="{00000000-0005-0000-0000-00004D020000}"/>
    <cellStyle name="Įprastas 5 2 5 2 6" xfId="513" xr:uid="{00000000-0005-0000-0000-00004E020000}"/>
    <cellStyle name="Įprastas 5 2 5 2_8 priedas" xfId="1230" xr:uid="{00000000-0005-0000-0000-00004F020000}"/>
    <cellStyle name="Įprastas 5 2 5 3" xfId="226" xr:uid="{00000000-0005-0000-0000-000050020000}"/>
    <cellStyle name="Įprastas 5 2 5 3 2" xfId="227" xr:uid="{00000000-0005-0000-0000-000051020000}"/>
    <cellStyle name="Įprastas 5 2 5 3 2 2" xfId="681" xr:uid="{00000000-0005-0000-0000-000052020000}"/>
    <cellStyle name="Įprastas 5 2 5 3 2_8 priedas" xfId="940" xr:uid="{00000000-0005-0000-0000-000053020000}"/>
    <cellStyle name="Įprastas 5 2 5 3 3" xfId="228" xr:uid="{00000000-0005-0000-0000-000054020000}"/>
    <cellStyle name="Įprastas 5 2 5 3 3 2" xfId="825" xr:uid="{00000000-0005-0000-0000-000055020000}"/>
    <cellStyle name="Įprastas 5 2 5 3 3_8 priedas" xfId="1198" xr:uid="{00000000-0005-0000-0000-000056020000}"/>
    <cellStyle name="Įprastas 5 2 5 3 4" xfId="537" xr:uid="{00000000-0005-0000-0000-000057020000}"/>
    <cellStyle name="Įprastas 5 2 5 3_8 priedas" xfId="930" xr:uid="{00000000-0005-0000-0000-000058020000}"/>
    <cellStyle name="Įprastas 5 2 5 4" xfId="229" xr:uid="{00000000-0005-0000-0000-000059020000}"/>
    <cellStyle name="Įprastas 5 2 5 4 2" xfId="230" xr:uid="{00000000-0005-0000-0000-00005A020000}"/>
    <cellStyle name="Įprastas 5 2 5 4 2 2" xfId="729" xr:uid="{00000000-0005-0000-0000-00005B020000}"/>
    <cellStyle name="Įprastas 5 2 5 4 2_8 priedas" xfId="1289" xr:uid="{00000000-0005-0000-0000-00005C020000}"/>
    <cellStyle name="Įprastas 5 2 5 4 3" xfId="231" xr:uid="{00000000-0005-0000-0000-00005D020000}"/>
    <cellStyle name="Įprastas 5 2 5 4 3 2" xfId="873" xr:uid="{00000000-0005-0000-0000-00005E020000}"/>
    <cellStyle name="Įprastas 5 2 5 4 3_8 priedas" xfId="1152" xr:uid="{00000000-0005-0000-0000-00005F020000}"/>
    <cellStyle name="Įprastas 5 2 5 4 4" xfId="585" xr:uid="{00000000-0005-0000-0000-000060020000}"/>
    <cellStyle name="Įprastas 5 2 5 4_8 priedas" xfId="1064" xr:uid="{00000000-0005-0000-0000-000061020000}"/>
    <cellStyle name="Įprastas 5 2 5 5" xfId="232" xr:uid="{00000000-0005-0000-0000-000062020000}"/>
    <cellStyle name="Įprastas 5 2 5 5 2" xfId="633" xr:uid="{00000000-0005-0000-0000-000063020000}"/>
    <cellStyle name="Įprastas 5 2 5 5_8 priedas" xfId="1017" xr:uid="{00000000-0005-0000-0000-000064020000}"/>
    <cellStyle name="Įprastas 5 2 5 6" xfId="233" xr:uid="{00000000-0005-0000-0000-000065020000}"/>
    <cellStyle name="Įprastas 5 2 5 6 2" xfId="777" xr:uid="{00000000-0005-0000-0000-000066020000}"/>
    <cellStyle name="Įprastas 5 2 5 6_8 priedas" xfId="1242" xr:uid="{00000000-0005-0000-0000-000067020000}"/>
    <cellStyle name="Įprastas 5 2 5 7" xfId="489" xr:uid="{00000000-0005-0000-0000-000068020000}"/>
    <cellStyle name="Įprastas 5 2 5_8 priedas" xfId="983" xr:uid="{00000000-0005-0000-0000-000069020000}"/>
    <cellStyle name="Įprastas 5 2 6" xfId="234" xr:uid="{00000000-0005-0000-0000-00006A020000}"/>
    <cellStyle name="Įprastas 5 2 6 2" xfId="235" xr:uid="{00000000-0005-0000-0000-00006B020000}"/>
    <cellStyle name="Įprastas 5 2 6 2 2" xfId="236" xr:uid="{00000000-0005-0000-0000-00006C020000}"/>
    <cellStyle name="Įprastas 5 2 6 2 2 2" xfId="693" xr:uid="{00000000-0005-0000-0000-00006D020000}"/>
    <cellStyle name="Įprastas 5 2 6 2 2_8 priedas" xfId="1222" xr:uid="{00000000-0005-0000-0000-00006E020000}"/>
    <cellStyle name="Įprastas 5 2 6 2 3" xfId="237" xr:uid="{00000000-0005-0000-0000-00006F020000}"/>
    <cellStyle name="Įprastas 5 2 6 2 3 2" xfId="837" xr:uid="{00000000-0005-0000-0000-000070020000}"/>
    <cellStyle name="Įprastas 5 2 6 2 3_8 priedas" xfId="1088" xr:uid="{00000000-0005-0000-0000-000071020000}"/>
    <cellStyle name="Įprastas 5 2 6 2 4" xfId="549" xr:uid="{00000000-0005-0000-0000-000072020000}"/>
    <cellStyle name="Įprastas 5 2 6 2_8 priedas" xfId="976" xr:uid="{00000000-0005-0000-0000-000073020000}"/>
    <cellStyle name="Įprastas 5 2 6 3" xfId="238" xr:uid="{00000000-0005-0000-0000-000074020000}"/>
    <cellStyle name="Įprastas 5 2 6 3 2" xfId="239" xr:uid="{00000000-0005-0000-0000-000075020000}"/>
    <cellStyle name="Įprastas 5 2 6 3 2 2" xfId="741" xr:uid="{00000000-0005-0000-0000-000076020000}"/>
    <cellStyle name="Įprastas 5 2 6 3 2_8 priedas" xfId="1176" xr:uid="{00000000-0005-0000-0000-000077020000}"/>
    <cellStyle name="Įprastas 5 2 6 3 3" xfId="240" xr:uid="{00000000-0005-0000-0000-000078020000}"/>
    <cellStyle name="Įprastas 5 2 6 3 3 2" xfId="885" xr:uid="{00000000-0005-0000-0000-000079020000}"/>
    <cellStyle name="Įprastas 5 2 6 3 3_8 priedas" xfId="1040" xr:uid="{00000000-0005-0000-0000-00007A020000}"/>
    <cellStyle name="Įprastas 5 2 6 3 4" xfId="597" xr:uid="{00000000-0005-0000-0000-00007B020000}"/>
    <cellStyle name="Įprastas 5 2 6 3_8 priedas" xfId="1313" xr:uid="{00000000-0005-0000-0000-00007C020000}"/>
    <cellStyle name="Įprastas 5 2 6 4" xfId="241" xr:uid="{00000000-0005-0000-0000-00007D020000}"/>
    <cellStyle name="Įprastas 5 2 6 4 2" xfId="645" xr:uid="{00000000-0005-0000-0000-00007E020000}"/>
    <cellStyle name="Įprastas 5 2 6 4_8 priedas" xfId="1264" xr:uid="{00000000-0005-0000-0000-00007F020000}"/>
    <cellStyle name="Įprastas 5 2 6 5" xfId="242" xr:uid="{00000000-0005-0000-0000-000080020000}"/>
    <cellStyle name="Įprastas 5 2 6 5 2" xfId="789" xr:uid="{00000000-0005-0000-0000-000081020000}"/>
    <cellStyle name="Įprastas 5 2 6 5_8 priedas" xfId="1128" xr:uid="{00000000-0005-0000-0000-000082020000}"/>
    <cellStyle name="Įprastas 5 2 6 6" xfId="501" xr:uid="{00000000-0005-0000-0000-000083020000}"/>
    <cellStyle name="Įprastas 5 2 6_8 priedas" xfId="1112" xr:uid="{00000000-0005-0000-0000-000084020000}"/>
    <cellStyle name="Įprastas 5 2 7" xfId="243" xr:uid="{00000000-0005-0000-0000-000085020000}"/>
    <cellStyle name="Įprastas 5 2 7 2" xfId="244" xr:uid="{00000000-0005-0000-0000-000086020000}"/>
    <cellStyle name="Įprastas 5 2 7 2 2" xfId="669" xr:uid="{00000000-0005-0000-0000-000087020000}"/>
    <cellStyle name="Įprastas 5 2 7 2_8 priedas" xfId="951" xr:uid="{00000000-0005-0000-0000-000088020000}"/>
    <cellStyle name="Įprastas 5 2 7 3" xfId="245" xr:uid="{00000000-0005-0000-0000-000089020000}"/>
    <cellStyle name="Įprastas 5 2 7 3 2" xfId="813" xr:uid="{00000000-0005-0000-0000-00008A020000}"/>
    <cellStyle name="Įprastas 5 2 7 3_8 priedas" xfId="1210" xr:uid="{00000000-0005-0000-0000-00008B020000}"/>
    <cellStyle name="Įprastas 5 2 7 4" xfId="525" xr:uid="{00000000-0005-0000-0000-00008C020000}"/>
    <cellStyle name="Įprastas 5 2 7_8 priedas" xfId="992" xr:uid="{00000000-0005-0000-0000-00008D020000}"/>
    <cellStyle name="Įprastas 5 2 8" xfId="246" xr:uid="{00000000-0005-0000-0000-00008E020000}"/>
    <cellStyle name="Įprastas 5 2 8 2" xfId="247" xr:uid="{00000000-0005-0000-0000-00008F020000}"/>
    <cellStyle name="Įprastas 5 2 8 2 2" xfId="717" xr:uid="{00000000-0005-0000-0000-000090020000}"/>
    <cellStyle name="Įprastas 5 2 8 2_8 priedas" xfId="1301" xr:uid="{00000000-0005-0000-0000-000091020000}"/>
    <cellStyle name="Įprastas 5 2 8 3" xfId="248" xr:uid="{00000000-0005-0000-0000-000092020000}"/>
    <cellStyle name="Įprastas 5 2 8 3 2" xfId="861" xr:uid="{00000000-0005-0000-0000-000093020000}"/>
    <cellStyle name="Įprastas 5 2 8 3_8 priedas" xfId="1164" xr:uid="{00000000-0005-0000-0000-000094020000}"/>
    <cellStyle name="Įprastas 5 2 8 4" xfId="573" xr:uid="{00000000-0005-0000-0000-000095020000}"/>
    <cellStyle name="Įprastas 5 2 8_8 priedas" xfId="1076" xr:uid="{00000000-0005-0000-0000-000096020000}"/>
    <cellStyle name="Įprastas 5 2 9" xfId="249" xr:uid="{00000000-0005-0000-0000-000097020000}"/>
    <cellStyle name="Įprastas 5 2 9 2" xfId="621" xr:uid="{00000000-0005-0000-0000-000098020000}"/>
    <cellStyle name="Įprastas 5 2 9_8 priedas" xfId="1029" xr:uid="{00000000-0005-0000-0000-000099020000}"/>
    <cellStyle name="Įprastas 5 2_8 priedas" xfId="21" xr:uid="{00000000-0005-0000-0000-00009A020000}"/>
    <cellStyle name="Įprastas 5 3" xfId="17" xr:uid="{00000000-0005-0000-0000-00009B020000}"/>
    <cellStyle name="Įprastas 5 3 2" xfId="24" xr:uid="{00000000-0005-0000-0000-00009C020000}"/>
    <cellStyle name="Įprastas 5 3 2 2" xfId="251" xr:uid="{00000000-0005-0000-0000-00009D020000}"/>
    <cellStyle name="Įprastas 5 3 2 2 2" xfId="252" xr:uid="{00000000-0005-0000-0000-00009E020000}"/>
    <cellStyle name="Įprastas 5 3 2 2 2 2" xfId="253" xr:uid="{00000000-0005-0000-0000-00009F020000}"/>
    <cellStyle name="Įprastas 5 3 2 2 2 2 2" xfId="254" xr:uid="{00000000-0005-0000-0000-0000A0020000}"/>
    <cellStyle name="Įprastas 5 3 2 2 2 2 2 2" xfId="712" xr:uid="{00000000-0005-0000-0000-0000A1020000}"/>
    <cellStyle name="Įprastas 5 3 2 2 2 2 2_8 priedas" xfId="1188" xr:uid="{00000000-0005-0000-0000-0000A2020000}"/>
    <cellStyle name="Įprastas 5 3 2 2 2 2 3" xfId="255" xr:uid="{00000000-0005-0000-0000-0000A3020000}"/>
    <cellStyle name="Įprastas 5 3 2 2 2 2 3 2" xfId="856" xr:uid="{00000000-0005-0000-0000-0000A4020000}"/>
    <cellStyle name="Įprastas 5 3 2 2 2 2 3_8 priedas" xfId="1052" xr:uid="{00000000-0005-0000-0000-0000A5020000}"/>
    <cellStyle name="Įprastas 5 3 2 2 2 2 4" xfId="568" xr:uid="{00000000-0005-0000-0000-0000A6020000}"/>
    <cellStyle name="Įprastas 5 3 2 2 2 2_8 priedas" xfId="1325" xr:uid="{00000000-0005-0000-0000-0000A7020000}"/>
    <cellStyle name="Įprastas 5 3 2 2 2 3" xfId="256" xr:uid="{00000000-0005-0000-0000-0000A8020000}"/>
    <cellStyle name="Įprastas 5 3 2 2 2 3 2" xfId="257" xr:uid="{00000000-0005-0000-0000-0000A9020000}"/>
    <cellStyle name="Įprastas 5 3 2 2 2 3 2 2" xfId="760" xr:uid="{00000000-0005-0000-0000-0000AA020000}"/>
    <cellStyle name="Įprastas 5 3 2 2 2 3 2_8 priedas" xfId="1140" xr:uid="{00000000-0005-0000-0000-0000AB020000}"/>
    <cellStyle name="Įprastas 5 3 2 2 2 3 3" xfId="258" xr:uid="{00000000-0005-0000-0000-0000AC020000}"/>
    <cellStyle name="Įprastas 5 3 2 2 2 3 3 2" xfId="904" xr:uid="{00000000-0005-0000-0000-0000AD020000}"/>
    <cellStyle name="Įprastas 5 3 2 2 2 3 3_8 priedas" xfId="1004" xr:uid="{00000000-0005-0000-0000-0000AE020000}"/>
    <cellStyle name="Įprastas 5 3 2 2 2 3 4" xfId="616" xr:uid="{00000000-0005-0000-0000-0000AF020000}"/>
    <cellStyle name="Įprastas 5 3 2 2 2 3_8 priedas" xfId="1276" xr:uid="{00000000-0005-0000-0000-0000B0020000}"/>
    <cellStyle name="Įprastas 5 3 2 2 2 4" xfId="259" xr:uid="{00000000-0005-0000-0000-0000B1020000}"/>
    <cellStyle name="Įprastas 5 3 2 2 2 4 2" xfId="664" xr:uid="{00000000-0005-0000-0000-0000B2020000}"/>
    <cellStyle name="Įprastas 5 3 2 2 2 4_8 priedas" xfId="963" xr:uid="{00000000-0005-0000-0000-0000B3020000}"/>
    <cellStyle name="Įprastas 5 3 2 2 2 5" xfId="260" xr:uid="{00000000-0005-0000-0000-0000B4020000}"/>
    <cellStyle name="Įprastas 5 3 2 2 2 5 2" xfId="808" xr:uid="{00000000-0005-0000-0000-0000B5020000}"/>
    <cellStyle name="Įprastas 5 3 2 2 2 5_8 priedas" xfId="934" xr:uid="{00000000-0005-0000-0000-0000B6020000}"/>
    <cellStyle name="Įprastas 5 3 2 2 2 6" xfId="520" xr:uid="{00000000-0005-0000-0000-0000B7020000}"/>
    <cellStyle name="Įprastas 5 3 2 2 2_8 priedas" xfId="1100" xr:uid="{00000000-0005-0000-0000-0000B8020000}"/>
    <cellStyle name="Įprastas 5 3 2 2 3" xfId="261" xr:uid="{00000000-0005-0000-0000-0000B9020000}"/>
    <cellStyle name="Įprastas 5 3 2 2 3 2" xfId="262" xr:uid="{00000000-0005-0000-0000-0000BA020000}"/>
    <cellStyle name="Įprastas 5 3 2 2 3 2 2" xfId="688" xr:uid="{00000000-0005-0000-0000-0000BB020000}"/>
    <cellStyle name="Įprastas 5 3 2 2 3 2_8 priedas" xfId="910" xr:uid="{00000000-0005-0000-0000-0000BC020000}"/>
    <cellStyle name="Įprastas 5 3 2 2 3 3" xfId="263" xr:uid="{00000000-0005-0000-0000-0000BD020000}"/>
    <cellStyle name="Įprastas 5 3 2 2 3 3 2" xfId="832" xr:uid="{00000000-0005-0000-0000-0000BE020000}"/>
    <cellStyle name="Įprastas 5 3 2 2 3 3_8 priedas" xfId="914" xr:uid="{00000000-0005-0000-0000-0000BF020000}"/>
    <cellStyle name="Įprastas 5 3 2 2 3 4" xfId="544" xr:uid="{00000000-0005-0000-0000-0000C0020000}"/>
    <cellStyle name="Įprastas 5 3 2 2 3_8 priedas" xfId="917" xr:uid="{00000000-0005-0000-0000-0000C1020000}"/>
    <cellStyle name="Įprastas 5 3 2 2 4" xfId="264" xr:uid="{00000000-0005-0000-0000-0000C2020000}"/>
    <cellStyle name="Įprastas 5 3 2 2 4 2" xfId="265" xr:uid="{00000000-0005-0000-0000-0000C3020000}"/>
    <cellStyle name="Įprastas 5 3 2 2 4 2 2" xfId="736" xr:uid="{00000000-0005-0000-0000-0000C4020000}"/>
    <cellStyle name="Įprastas 5 3 2 2 4 2_8 priedas" xfId="1280" xr:uid="{00000000-0005-0000-0000-0000C5020000}"/>
    <cellStyle name="Įprastas 5 3 2 2 4 3" xfId="266" xr:uid="{00000000-0005-0000-0000-0000C6020000}"/>
    <cellStyle name="Įprastas 5 3 2 2 4 3 2" xfId="880" xr:uid="{00000000-0005-0000-0000-0000C7020000}"/>
    <cellStyle name="Įprastas 5 3 2 2 4 3_8 priedas" xfId="1144" xr:uid="{00000000-0005-0000-0000-0000C8020000}"/>
    <cellStyle name="Įprastas 5 3 2 2 4 4" xfId="592" xr:uid="{00000000-0005-0000-0000-0000C9020000}"/>
    <cellStyle name="Įprastas 5 3 2 2 4_8 priedas" xfId="1055" xr:uid="{00000000-0005-0000-0000-0000CA020000}"/>
    <cellStyle name="Įprastas 5 3 2 2 5" xfId="267" xr:uid="{00000000-0005-0000-0000-0000CB020000}"/>
    <cellStyle name="Įprastas 5 3 2 2 5 2" xfId="640" xr:uid="{00000000-0005-0000-0000-0000CC020000}"/>
    <cellStyle name="Įprastas 5 3 2 2 5_8 priedas" xfId="1008" xr:uid="{00000000-0005-0000-0000-0000CD020000}"/>
    <cellStyle name="Įprastas 5 3 2 2 6" xfId="268" xr:uid="{00000000-0005-0000-0000-0000CE020000}"/>
    <cellStyle name="Įprastas 5 3 2 2 6 2" xfId="784" xr:uid="{00000000-0005-0000-0000-0000CF020000}"/>
    <cellStyle name="Įprastas 5 3 2 2 6_8 priedas" xfId="1234" xr:uid="{00000000-0005-0000-0000-0000D0020000}"/>
    <cellStyle name="Įprastas 5 3 2 2 7" xfId="496" xr:uid="{00000000-0005-0000-0000-0000D1020000}"/>
    <cellStyle name="Įprastas 5 3 2 2_8 priedas" xfId="1232" xr:uid="{00000000-0005-0000-0000-0000D2020000}"/>
    <cellStyle name="Įprastas 5 3 2 3" xfId="269" xr:uid="{00000000-0005-0000-0000-0000D3020000}"/>
    <cellStyle name="Įprastas 5 3 2 3 2" xfId="270" xr:uid="{00000000-0005-0000-0000-0000D4020000}"/>
    <cellStyle name="Įprastas 5 3 2 3 2 2" xfId="271" xr:uid="{00000000-0005-0000-0000-0000D5020000}"/>
    <cellStyle name="Įprastas 5 3 2 3 2 2 2" xfId="700" xr:uid="{00000000-0005-0000-0000-0000D6020000}"/>
    <cellStyle name="Įprastas 5 3 2 3 2 2_8 priedas" xfId="1215" xr:uid="{00000000-0005-0000-0000-0000D7020000}"/>
    <cellStyle name="Įprastas 5 3 2 3 2 3" xfId="272" xr:uid="{00000000-0005-0000-0000-0000D8020000}"/>
    <cellStyle name="Įprastas 5 3 2 3 2 3 2" xfId="844" xr:uid="{00000000-0005-0000-0000-0000D9020000}"/>
    <cellStyle name="Įprastas 5 3 2 3 2 3_8 priedas" xfId="1081" xr:uid="{00000000-0005-0000-0000-0000DA020000}"/>
    <cellStyle name="Įprastas 5 3 2 3 2 4" xfId="556" xr:uid="{00000000-0005-0000-0000-0000DB020000}"/>
    <cellStyle name="Įprastas 5 3 2 3 2_8 priedas" xfId="967" xr:uid="{00000000-0005-0000-0000-0000DC020000}"/>
    <cellStyle name="Įprastas 5 3 2 3 3" xfId="273" xr:uid="{00000000-0005-0000-0000-0000DD020000}"/>
    <cellStyle name="Įprastas 5 3 2 3 3 2" xfId="274" xr:uid="{00000000-0005-0000-0000-0000DE020000}"/>
    <cellStyle name="Įprastas 5 3 2 3 3 2 2" xfId="748" xr:uid="{00000000-0005-0000-0000-0000DF020000}"/>
    <cellStyle name="Įprastas 5 3 2 3 3 2_8 priedas" xfId="1169" xr:uid="{00000000-0005-0000-0000-0000E0020000}"/>
    <cellStyle name="Įprastas 5 3 2 3 3 3" xfId="275" xr:uid="{00000000-0005-0000-0000-0000E1020000}"/>
    <cellStyle name="Įprastas 5 3 2 3 3 3 2" xfId="892" xr:uid="{00000000-0005-0000-0000-0000E2020000}"/>
    <cellStyle name="Įprastas 5 3 2 3 3 3_8 priedas" xfId="1033" xr:uid="{00000000-0005-0000-0000-0000E3020000}"/>
    <cellStyle name="Įprastas 5 3 2 3 3 4" xfId="604" xr:uid="{00000000-0005-0000-0000-0000E4020000}"/>
    <cellStyle name="Įprastas 5 3 2 3 3_8 priedas" xfId="1306" xr:uid="{00000000-0005-0000-0000-0000E5020000}"/>
    <cellStyle name="Įprastas 5 3 2 3 4" xfId="276" xr:uid="{00000000-0005-0000-0000-0000E6020000}"/>
    <cellStyle name="Įprastas 5 3 2 3 4 2" xfId="652" xr:uid="{00000000-0005-0000-0000-0000E7020000}"/>
    <cellStyle name="Įprastas 5 3 2 3 4_8 priedas" xfId="1257" xr:uid="{00000000-0005-0000-0000-0000E8020000}"/>
    <cellStyle name="Įprastas 5 3 2 3 5" xfId="277" xr:uid="{00000000-0005-0000-0000-0000E9020000}"/>
    <cellStyle name="Įprastas 5 3 2 3 5 2" xfId="796" xr:uid="{00000000-0005-0000-0000-0000EA020000}"/>
    <cellStyle name="Įprastas 5 3 2 3 5_8 priedas" xfId="1121" xr:uid="{00000000-0005-0000-0000-0000EB020000}"/>
    <cellStyle name="Įprastas 5 3 2 3 6" xfId="508" xr:uid="{00000000-0005-0000-0000-0000EC020000}"/>
    <cellStyle name="Įprastas 5 3 2 3_8 priedas" xfId="1104" xr:uid="{00000000-0005-0000-0000-0000ED020000}"/>
    <cellStyle name="Įprastas 5 3 2 4" xfId="278" xr:uid="{00000000-0005-0000-0000-0000EE020000}"/>
    <cellStyle name="Įprastas 5 3 2 4 2" xfId="279" xr:uid="{00000000-0005-0000-0000-0000EF020000}"/>
    <cellStyle name="Įprastas 5 3 2 4 2 2" xfId="676" xr:uid="{00000000-0005-0000-0000-0000F0020000}"/>
    <cellStyle name="Įprastas 5 3 2 4 2_8 priedas" xfId="944" xr:uid="{00000000-0005-0000-0000-0000F1020000}"/>
    <cellStyle name="Įprastas 5 3 2 4 3" xfId="280" xr:uid="{00000000-0005-0000-0000-0000F2020000}"/>
    <cellStyle name="Įprastas 5 3 2 4 3 2" xfId="820" xr:uid="{00000000-0005-0000-0000-0000F3020000}"/>
    <cellStyle name="Įprastas 5 3 2 4 3_8 priedas" xfId="1203" xr:uid="{00000000-0005-0000-0000-0000F4020000}"/>
    <cellStyle name="Įprastas 5 3 2 4 4" xfId="532" xr:uid="{00000000-0005-0000-0000-0000F5020000}"/>
    <cellStyle name="Įprastas 5 3 2 4_8 priedas" xfId="985" xr:uid="{00000000-0005-0000-0000-0000F6020000}"/>
    <cellStyle name="Įprastas 5 3 2 5" xfId="281" xr:uid="{00000000-0005-0000-0000-0000F7020000}"/>
    <cellStyle name="Įprastas 5 3 2 5 2" xfId="282" xr:uid="{00000000-0005-0000-0000-0000F8020000}"/>
    <cellStyle name="Įprastas 5 3 2 5 2 2" xfId="724" xr:uid="{00000000-0005-0000-0000-0000F9020000}"/>
    <cellStyle name="Įprastas 5 3 2 5 2_8 priedas" xfId="1294" xr:uid="{00000000-0005-0000-0000-0000FA020000}"/>
    <cellStyle name="Įprastas 5 3 2 5 3" xfId="283" xr:uid="{00000000-0005-0000-0000-0000FB020000}"/>
    <cellStyle name="Įprastas 5 3 2 5 3 2" xfId="868" xr:uid="{00000000-0005-0000-0000-0000FC020000}"/>
    <cellStyle name="Įprastas 5 3 2 5 3_8 priedas" xfId="1157" xr:uid="{00000000-0005-0000-0000-0000FD020000}"/>
    <cellStyle name="Įprastas 5 3 2 5 4" xfId="580" xr:uid="{00000000-0005-0000-0000-0000FE020000}"/>
    <cellStyle name="Įprastas 5 3 2 5_8 priedas" xfId="1069" xr:uid="{00000000-0005-0000-0000-0000FF020000}"/>
    <cellStyle name="Įprastas 5 3 2 6" xfId="284" xr:uid="{00000000-0005-0000-0000-000000030000}"/>
    <cellStyle name="Įprastas 5 3 2 6 2" xfId="628" xr:uid="{00000000-0005-0000-0000-000001030000}"/>
    <cellStyle name="Įprastas 5 3 2 6_8 priedas" xfId="1022" xr:uid="{00000000-0005-0000-0000-000002030000}"/>
    <cellStyle name="Įprastas 5 3 2 7" xfId="285" xr:uid="{00000000-0005-0000-0000-000003030000}"/>
    <cellStyle name="Įprastas 5 3 2 7 2" xfId="772" xr:uid="{00000000-0005-0000-0000-000004030000}"/>
    <cellStyle name="Įprastas 5 3 2 7_8 priedas" xfId="1247" xr:uid="{00000000-0005-0000-0000-000005030000}"/>
    <cellStyle name="Įprastas 5 3 2 8" xfId="484" xr:uid="{00000000-0005-0000-0000-000006030000}"/>
    <cellStyle name="Įprastas 5 3 2_8 priedas" xfId="250" xr:uid="{00000000-0005-0000-0000-000007030000}"/>
    <cellStyle name="Įprastas 5 3 3" xfId="286" xr:uid="{00000000-0005-0000-0000-000008030000}"/>
    <cellStyle name="Įprastas 5 3 3 2" xfId="287" xr:uid="{00000000-0005-0000-0000-000009030000}"/>
    <cellStyle name="Įprastas 5 3 3 2 2" xfId="288" xr:uid="{00000000-0005-0000-0000-00000A030000}"/>
    <cellStyle name="Įprastas 5 3 3 2 2 2" xfId="289" xr:uid="{00000000-0005-0000-0000-00000B030000}"/>
    <cellStyle name="Įprastas 5 3 3 2 2 2 2" xfId="708" xr:uid="{00000000-0005-0000-0000-00000C030000}"/>
    <cellStyle name="Įprastas 5 3 3 2 2 2_8 priedas" xfId="1318" xr:uid="{00000000-0005-0000-0000-00000D030000}"/>
    <cellStyle name="Įprastas 5 3 3 2 2 3" xfId="290" xr:uid="{00000000-0005-0000-0000-00000E030000}"/>
    <cellStyle name="Įprastas 5 3 3 2 2 3 2" xfId="852" xr:uid="{00000000-0005-0000-0000-00000F030000}"/>
    <cellStyle name="Įprastas 5 3 3 2 2 3_8 priedas" xfId="1181" xr:uid="{00000000-0005-0000-0000-000010030000}"/>
    <cellStyle name="Įprastas 5 3 3 2 2 4" xfId="564" xr:uid="{00000000-0005-0000-0000-000011030000}"/>
    <cellStyle name="Įprastas 5 3 3 2 2_8 priedas" xfId="1093" xr:uid="{00000000-0005-0000-0000-000012030000}"/>
    <cellStyle name="Įprastas 5 3 3 2 3" xfId="291" xr:uid="{00000000-0005-0000-0000-000013030000}"/>
    <cellStyle name="Įprastas 5 3 3 2 3 2" xfId="292" xr:uid="{00000000-0005-0000-0000-000014030000}"/>
    <cellStyle name="Įprastas 5 3 3 2 3 2 2" xfId="756" xr:uid="{00000000-0005-0000-0000-000015030000}"/>
    <cellStyle name="Įprastas 5 3 3 2 3 2_8 priedas" xfId="1269" xr:uid="{00000000-0005-0000-0000-000016030000}"/>
    <cellStyle name="Įprastas 5 3 3 2 3 3" xfId="293" xr:uid="{00000000-0005-0000-0000-000017030000}"/>
    <cellStyle name="Įprastas 5 3 3 2 3 3 2" xfId="900" xr:uid="{00000000-0005-0000-0000-000018030000}"/>
    <cellStyle name="Įprastas 5 3 3 2 3 3_8 priedas" xfId="1133" xr:uid="{00000000-0005-0000-0000-000019030000}"/>
    <cellStyle name="Įprastas 5 3 3 2 3 4" xfId="612" xr:uid="{00000000-0005-0000-0000-00001A030000}"/>
    <cellStyle name="Įprastas 5 3 3 2 3_8 priedas" xfId="1045" xr:uid="{00000000-0005-0000-0000-00001B030000}"/>
    <cellStyle name="Įprastas 5 3 3 2 4" xfId="294" xr:uid="{00000000-0005-0000-0000-00001C030000}"/>
    <cellStyle name="Įprastas 5 3 3 2 4 2" xfId="660" xr:uid="{00000000-0005-0000-0000-00001D030000}"/>
    <cellStyle name="Įprastas 5 3 3 2 4_8 priedas" xfId="997" xr:uid="{00000000-0005-0000-0000-00001E030000}"/>
    <cellStyle name="Įprastas 5 3 3 2 5" xfId="295" xr:uid="{00000000-0005-0000-0000-00001F030000}"/>
    <cellStyle name="Įprastas 5 3 3 2 5 2" xfId="804" xr:uid="{00000000-0005-0000-0000-000020030000}"/>
    <cellStyle name="Įprastas 5 3 3 2 5_8 priedas" xfId="956" xr:uid="{00000000-0005-0000-0000-000021030000}"/>
    <cellStyle name="Įprastas 5 3 3 2 6" xfId="516" xr:uid="{00000000-0005-0000-0000-000022030000}"/>
    <cellStyle name="Įprastas 5 3 3 2_8 priedas" xfId="1227" xr:uid="{00000000-0005-0000-0000-000023030000}"/>
    <cellStyle name="Įprastas 5 3 3 3" xfId="296" xr:uid="{00000000-0005-0000-0000-000024030000}"/>
    <cellStyle name="Įprastas 5 3 3 3 2" xfId="297" xr:uid="{00000000-0005-0000-0000-000025030000}"/>
    <cellStyle name="Įprastas 5 3 3 3 2 2" xfId="684" xr:uid="{00000000-0005-0000-0000-000026030000}"/>
    <cellStyle name="Įprastas 5 3 3 3 2_8 priedas" xfId="939" xr:uid="{00000000-0005-0000-0000-000027030000}"/>
    <cellStyle name="Įprastas 5 3 3 3 3" xfId="298" xr:uid="{00000000-0005-0000-0000-000028030000}"/>
    <cellStyle name="Įprastas 5 3 3 3 3 2" xfId="828" xr:uid="{00000000-0005-0000-0000-000029030000}"/>
    <cellStyle name="Įprastas 5 3 3 3 3_8 priedas" xfId="1197" xr:uid="{00000000-0005-0000-0000-00002A030000}"/>
    <cellStyle name="Įprastas 5 3 3 3 4" xfId="540" xr:uid="{00000000-0005-0000-0000-00002B030000}"/>
    <cellStyle name="Įprastas 5 3 3 3_8 priedas" xfId="927" xr:uid="{00000000-0005-0000-0000-00002C030000}"/>
    <cellStyle name="Įprastas 5 3 3 4" xfId="299" xr:uid="{00000000-0005-0000-0000-00002D030000}"/>
    <cellStyle name="Įprastas 5 3 3 4 2" xfId="300" xr:uid="{00000000-0005-0000-0000-00002E030000}"/>
    <cellStyle name="Įprastas 5 3 3 4 2 2" xfId="732" xr:uid="{00000000-0005-0000-0000-00002F030000}"/>
    <cellStyle name="Įprastas 5 3 3 4 2_8 priedas" xfId="1288" xr:uid="{00000000-0005-0000-0000-000030030000}"/>
    <cellStyle name="Įprastas 5 3 3 4 3" xfId="301" xr:uid="{00000000-0005-0000-0000-000031030000}"/>
    <cellStyle name="Įprastas 5 3 3 4 3 2" xfId="876" xr:uid="{00000000-0005-0000-0000-000032030000}"/>
    <cellStyle name="Įprastas 5 3 3 4 3_8 priedas" xfId="1151" xr:uid="{00000000-0005-0000-0000-000033030000}"/>
    <cellStyle name="Įprastas 5 3 3 4 4" xfId="588" xr:uid="{00000000-0005-0000-0000-000034030000}"/>
    <cellStyle name="Įprastas 5 3 3 4_8 priedas" xfId="1063" xr:uid="{00000000-0005-0000-0000-000035030000}"/>
    <cellStyle name="Įprastas 5 3 3 5" xfId="302" xr:uid="{00000000-0005-0000-0000-000036030000}"/>
    <cellStyle name="Įprastas 5 3 3 5 2" xfId="636" xr:uid="{00000000-0005-0000-0000-000037030000}"/>
    <cellStyle name="Įprastas 5 3 3 5_8 priedas" xfId="1016" xr:uid="{00000000-0005-0000-0000-000038030000}"/>
    <cellStyle name="Įprastas 5 3 3 6" xfId="303" xr:uid="{00000000-0005-0000-0000-000039030000}"/>
    <cellStyle name="Įprastas 5 3 3 6 2" xfId="780" xr:uid="{00000000-0005-0000-0000-00003A030000}"/>
    <cellStyle name="Įprastas 5 3 3 6_8 priedas" xfId="1241" xr:uid="{00000000-0005-0000-0000-00003B030000}"/>
    <cellStyle name="Įprastas 5 3 3 7" xfId="492" xr:uid="{00000000-0005-0000-0000-00003C030000}"/>
    <cellStyle name="Įprastas 5 3 3_8 priedas" xfId="981" xr:uid="{00000000-0005-0000-0000-00003D030000}"/>
    <cellStyle name="Įprastas 5 3 4" xfId="304" xr:uid="{00000000-0005-0000-0000-00003E030000}"/>
    <cellStyle name="Įprastas 5 3 4 2" xfId="305" xr:uid="{00000000-0005-0000-0000-00003F030000}"/>
    <cellStyle name="Įprastas 5 3 4 2 2" xfId="306" xr:uid="{00000000-0005-0000-0000-000040030000}"/>
    <cellStyle name="Įprastas 5 3 4 2 2 2" xfId="696" xr:uid="{00000000-0005-0000-0000-000041030000}"/>
    <cellStyle name="Įprastas 5 3 4 2 2_8 priedas" xfId="1221" xr:uid="{00000000-0005-0000-0000-000042030000}"/>
    <cellStyle name="Įprastas 5 3 4 2 3" xfId="307" xr:uid="{00000000-0005-0000-0000-000043030000}"/>
    <cellStyle name="Įprastas 5 3 4 2 3 2" xfId="840" xr:uid="{00000000-0005-0000-0000-000044030000}"/>
    <cellStyle name="Įprastas 5 3 4 2 3_8 priedas" xfId="1087" xr:uid="{00000000-0005-0000-0000-000045030000}"/>
    <cellStyle name="Įprastas 5 3 4 2 4" xfId="552" xr:uid="{00000000-0005-0000-0000-000046030000}"/>
    <cellStyle name="Įprastas 5 3 4 2_8 priedas" xfId="975" xr:uid="{00000000-0005-0000-0000-000047030000}"/>
    <cellStyle name="Įprastas 5 3 4 3" xfId="308" xr:uid="{00000000-0005-0000-0000-000048030000}"/>
    <cellStyle name="Įprastas 5 3 4 3 2" xfId="309" xr:uid="{00000000-0005-0000-0000-000049030000}"/>
    <cellStyle name="Įprastas 5 3 4 3 2 2" xfId="744" xr:uid="{00000000-0005-0000-0000-00004A030000}"/>
    <cellStyle name="Įprastas 5 3 4 3 2_8 priedas" xfId="1175" xr:uid="{00000000-0005-0000-0000-00004B030000}"/>
    <cellStyle name="Įprastas 5 3 4 3 3" xfId="310" xr:uid="{00000000-0005-0000-0000-00004C030000}"/>
    <cellStyle name="Įprastas 5 3 4 3 3 2" xfId="888" xr:uid="{00000000-0005-0000-0000-00004D030000}"/>
    <cellStyle name="Įprastas 5 3 4 3 3_8 priedas" xfId="1039" xr:uid="{00000000-0005-0000-0000-00004E030000}"/>
    <cellStyle name="Įprastas 5 3 4 3 4" xfId="600" xr:uid="{00000000-0005-0000-0000-00004F030000}"/>
    <cellStyle name="Įprastas 5 3 4 3_8 priedas" xfId="1312" xr:uid="{00000000-0005-0000-0000-000050030000}"/>
    <cellStyle name="Įprastas 5 3 4 4" xfId="311" xr:uid="{00000000-0005-0000-0000-000051030000}"/>
    <cellStyle name="Įprastas 5 3 4 4 2" xfId="648" xr:uid="{00000000-0005-0000-0000-000052030000}"/>
    <cellStyle name="Įprastas 5 3 4 4_8 priedas" xfId="1263" xr:uid="{00000000-0005-0000-0000-000053030000}"/>
    <cellStyle name="Įprastas 5 3 4 5" xfId="312" xr:uid="{00000000-0005-0000-0000-000054030000}"/>
    <cellStyle name="Įprastas 5 3 4 5 2" xfId="792" xr:uid="{00000000-0005-0000-0000-000055030000}"/>
    <cellStyle name="Įprastas 5 3 4 5_8 priedas" xfId="1127" xr:uid="{00000000-0005-0000-0000-000056030000}"/>
    <cellStyle name="Įprastas 5 3 4 6" xfId="504" xr:uid="{00000000-0005-0000-0000-000057030000}"/>
    <cellStyle name="Įprastas 5 3 4_8 priedas" xfId="1111" xr:uid="{00000000-0005-0000-0000-000058030000}"/>
    <cellStyle name="Įprastas 5 3 5" xfId="313" xr:uid="{00000000-0005-0000-0000-000059030000}"/>
    <cellStyle name="Įprastas 5 3 5 2" xfId="314" xr:uid="{00000000-0005-0000-0000-00005A030000}"/>
    <cellStyle name="Įprastas 5 3 5 2 2" xfId="672" xr:uid="{00000000-0005-0000-0000-00005B030000}"/>
    <cellStyle name="Įprastas 5 3 5 2_8 priedas" xfId="950" xr:uid="{00000000-0005-0000-0000-00005C030000}"/>
    <cellStyle name="Įprastas 5 3 5 3" xfId="315" xr:uid="{00000000-0005-0000-0000-00005D030000}"/>
    <cellStyle name="Įprastas 5 3 5 3 2" xfId="816" xr:uid="{00000000-0005-0000-0000-00005E030000}"/>
    <cellStyle name="Įprastas 5 3 5 3_8 priedas" xfId="1209" xr:uid="{00000000-0005-0000-0000-00005F030000}"/>
    <cellStyle name="Įprastas 5 3 5 4" xfId="528" xr:uid="{00000000-0005-0000-0000-000060030000}"/>
    <cellStyle name="Įprastas 5 3 5_8 priedas" xfId="991" xr:uid="{00000000-0005-0000-0000-000061030000}"/>
    <cellStyle name="Įprastas 5 3 6" xfId="316" xr:uid="{00000000-0005-0000-0000-000062030000}"/>
    <cellStyle name="Įprastas 5 3 6 2" xfId="317" xr:uid="{00000000-0005-0000-0000-000063030000}"/>
    <cellStyle name="Įprastas 5 3 6 2 2" xfId="720" xr:uid="{00000000-0005-0000-0000-000064030000}"/>
    <cellStyle name="Įprastas 5 3 6 2_8 priedas" xfId="1300" xr:uid="{00000000-0005-0000-0000-000065030000}"/>
    <cellStyle name="Įprastas 5 3 6 3" xfId="318" xr:uid="{00000000-0005-0000-0000-000066030000}"/>
    <cellStyle name="Įprastas 5 3 6 3 2" xfId="864" xr:uid="{00000000-0005-0000-0000-000067030000}"/>
    <cellStyle name="Įprastas 5 3 6 3_8 priedas" xfId="1163" xr:uid="{00000000-0005-0000-0000-000068030000}"/>
    <cellStyle name="Įprastas 5 3 6 4" xfId="576" xr:uid="{00000000-0005-0000-0000-000069030000}"/>
    <cellStyle name="Įprastas 5 3 6_8 priedas" xfId="1075" xr:uid="{00000000-0005-0000-0000-00006A030000}"/>
    <cellStyle name="Įprastas 5 3 7" xfId="319" xr:uid="{00000000-0005-0000-0000-00006B030000}"/>
    <cellStyle name="Įprastas 5 3 7 2" xfId="624" xr:uid="{00000000-0005-0000-0000-00006C030000}"/>
    <cellStyle name="Įprastas 5 3 7_8 priedas" xfId="1028" xr:uid="{00000000-0005-0000-0000-00006D030000}"/>
    <cellStyle name="Įprastas 5 3 8" xfId="320" xr:uid="{00000000-0005-0000-0000-00006E030000}"/>
    <cellStyle name="Įprastas 5 3 8 2" xfId="768" xr:uid="{00000000-0005-0000-0000-00006F030000}"/>
    <cellStyle name="Įprastas 5 3 8_8 priedas" xfId="1253" xr:uid="{00000000-0005-0000-0000-000070030000}"/>
    <cellStyle name="Įprastas 5 3 9" xfId="480" xr:uid="{00000000-0005-0000-0000-000071030000}"/>
    <cellStyle name="Įprastas 5 3_8 priedas" xfId="30" xr:uid="{00000000-0005-0000-0000-000072030000}"/>
    <cellStyle name="Įprastas 5 4" xfId="18" xr:uid="{00000000-0005-0000-0000-000073030000}"/>
    <cellStyle name="Įprastas 5 4 2" xfId="26" xr:uid="{00000000-0005-0000-0000-000074030000}"/>
    <cellStyle name="Įprastas 5 4 2 2" xfId="322" xr:uid="{00000000-0005-0000-0000-000075030000}"/>
    <cellStyle name="Įprastas 5 4 2 2 2" xfId="323" xr:uid="{00000000-0005-0000-0000-000076030000}"/>
    <cellStyle name="Įprastas 5 4 2 2 2 2" xfId="324" xr:uid="{00000000-0005-0000-0000-000077030000}"/>
    <cellStyle name="Įprastas 5 4 2 2 2 2 2" xfId="325" xr:uid="{00000000-0005-0000-0000-000078030000}"/>
    <cellStyle name="Įprastas 5 4 2 2 2 2 2 2" xfId="714" xr:uid="{00000000-0005-0000-0000-000079030000}"/>
    <cellStyle name="Įprastas 5 4 2 2 2 2 2_8 priedas" xfId="1051" xr:uid="{00000000-0005-0000-0000-00007A030000}"/>
    <cellStyle name="Įprastas 5 4 2 2 2 2 3" xfId="326" xr:uid="{00000000-0005-0000-0000-00007B030000}"/>
    <cellStyle name="Įprastas 5 4 2 2 2 2 3 2" xfId="858" xr:uid="{00000000-0005-0000-0000-00007C030000}"/>
    <cellStyle name="Įprastas 5 4 2 2 2 2 3_8 priedas" xfId="1275" xr:uid="{00000000-0005-0000-0000-00007D030000}"/>
    <cellStyle name="Įprastas 5 4 2 2 2 2 4" xfId="570" xr:uid="{00000000-0005-0000-0000-00007E030000}"/>
    <cellStyle name="Įprastas 5 4 2 2 2 2_8 priedas" xfId="1187" xr:uid="{00000000-0005-0000-0000-00007F030000}"/>
    <cellStyle name="Įprastas 5 4 2 2 2 3" xfId="327" xr:uid="{00000000-0005-0000-0000-000080030000}"/>
    <cellStyle name="Įprastas 5 4 2 2 2 3 2" xfId="328" xr:uid="{00000000-0005-0000-0000-000081030000}"/>
    <cellStyle name="Įprastas 5 4 2 2 2 3 2 2" xfId="762" xr:uid="{00000000-0005-0000-0000-000082030000}"/>
    <cellStyle name="Įprastas 5 4 2 2 2 3 2_8 priedas" xfId="1003" xr:uid="{00000000-0005-0000-0000-000083030000}"/>
    <cellStyle name="Įprastas 5 4 2 2 2 3 3" xfId="329" xr:uid="{00000000-0005-0000-0000-000084030000}"/>
    <cellStyle name="Įprastas 5 4 2 2 2 3 3 2" xfId="906" xr:uid="{00000000-0005-0000-0000-000085030000}"/>
    <cellStyle name="Įprastas 5 4 2 2 2 3 3_8 priedas" xfId="962" xr:uid="{00000000-0005-0000-0000-000086030000}"/>
    <cellStyle name="Įprastas 5 4 2 2 2 3 4" xfId="618" xr:uid="{00000000-0005-0000-0000-000087030000}"/>
    <cellStyle name="Įprastas 5 4 2 2 2 3_8 priedas" xfId="1139" xr:uid="{00000000-0005-0000-0000-000088030000}"/>
    <cellStyle name="Įprastas 5 4 2 2 2 4" xfId="330" xr:uid="{00000000-0005-0000-0000-000089030000}"/>
    <cellStyle name="Įprastas 5 4 2 2 2 4 2" xfId="666" xr:uid="{00000000-0005-0000-0000-00008A030000}"/>
    <cellStyle name="Įprastas 5 4 2 2 2 4_8 priedas" xfId="933" xr:uid="{00000000-0005-0000-0000-00008B030000}"/>
    <cellStyle name="Įprastas 5 4 2 2 2 5" xfId="331" xr:uid="{00000000-0005-0000-0000-00008C030000}"/>
    <cellStyle name="Įprastas 5 4 2 2 2 5 2" xfId="810" xr:uid="{00000000-0005-0000-0000-00008D030000}"/>
    <cellStyle name="Įprastas 5 4 2 2 2 5_8 priedas" xfId="916" xr:uid="{00000000-0005-0000-0000-00008E030000}"/>
    <cellStyle name="Įprastas 5 4 2 2 2 6" xfId="522" xr:uid="{00000000-0005-0000-0000-00008F030000}"/>
    <cellStyle name="Įprastas 5 4 2 2 2_8 priedas" xfId="1324" xr:uid="{00000000-0005-0000-0000-000090030000}"/>
    <cellStyle name="Įprastas 5 4 2 2 3" xfId="332" xr:uid="{00000000-0005-0000-0000-000091030000}"/>
    <cellStyle name="Įprastas 5 4 2 2 3 2" xfId="333" xr:uid="{00000000-0005-0000-0000-000092030000}"/>
    <cellStyle name="Įprastas 5 4 2 2 3 2 2" xfId="690" xr:uid="{00000000-0005-0000-0000-000093030000}"/>
    <cellStyle name="Įprastas 5 4 2 2 3 2_8 priedas" xfId="1192" xr:uid="{00000000-0005-0000-0000-000094030000}"/>
    <cellStyle name="Įprastas 5 4 2 2 3 3" xfId="334" xr:uid="{00000000-0005-0000-0000-000095030000}"/>
    <cellStyle name="Įprastas 5 4 2 2 3 3 2" xfId="834" xr:uid="{00000000-0005-0000-0000-000096030000}"/>
    <cellStyle name="Įprastas 5 4 2 2 3 3_8 priedas" xfId="1057" xr:uid="{00000000-0005-0000-0000-000097030000}"/>
    <cellStyle name="Įprastas 5 4 2 2 3 4" xfId="546" xr:uid="{00000000-0005-0000-0000-000098030000}"/>
    <cellStyle name="Įprastas 5 4 2 2 3_8 priedas" xfId="921" xr:uid="{00000000-0005-0000-0000-000099030000}"/>
    <cellStyle name="Įprastas 5 4 2 2 4" xfId="335" xr:uid="{00000000-0005-0000-0000-00009A030000}"/>
    <cellStyle name="Įprastas 5 4 2 2 4 2" xfId="336" xr:uid="{00000000-0005-0000-0000-00009B030000}"/>
    <cellStyle name="Įprastas 5 4 2 2 4 2 2" xfId="738" xr:uid="{00000000-0005-0000-0000-00009C030000}"/>
    <cellStyle name="Įprastas 5 4 2 2 4 2_8 priedas" xfId="1146" xr:uid="{00000000-0005-0000-0000-00009D030000}"/>
    <cellStyle name="Įprastas 5 4 2 2 4 3" xfId="337" xr:uid="{00000000-0005-0000-0000-00009E030000}"/>
    <cellStyle name="Įprastas 5 4 2 2 4 3 2" xfId="882" xr:uid="{00000000-0005-0000-0000-00009F030000}"/>
    <cellStyle name="Įprastas 5 4 2 2 4 3_8 priedas" xfId="1010" xr:uid="{00000000-0005-0000-0000-0000A0030000}"/>
    <cellStyle name="Įprastas 5 4 2 2 4 4" xfId="594" xr:uid="{00000000-0005-0000-0000-0000A1030000}"/>
    <cellStyle name="Įprastas 5 4 2 2 4_8 priedas" xfId="1282" xr:uid="{00000000-0005-0000-0000-0000A2030000}"/>
    <cellStyle name="Įprastas 5 4 2 2 5" xfId="338" xr:uid="{00000000-0005-0000-0000-0000A3030000}"/>
    <cellStyle name="Įprastas 5 4 2 2 5 2" xfId="642" xr:uid="{00000000-0005-0000-0000-0000A4030000}"/>
    <cellStyle name="Įprastas 5 4 2 2 5_8 priedas" xfId="1236" xr:uid="{00000000-0005-0000-0000-0000A5030000}"/>
    <cellStyle name="Įprastas 5 4 2 2 6" xfId="339" xr:uid="{00000000-0005-0000-0000-0000A6030000}"/>
    <cellStyle name="Įprastas 5 4 2 2 6 2" xfId="786" xr:uid="{00000000-0005-0000-0000-0000A7030000}"/>
    <cellStyle name="Įprastas 5 4 2 2 6_8 priedas" xfId="1106" xr:uid="{00000000-0005-0000-0000-0000A8030000}"/>
    <cellStyle name="Įprastas 5 4 2 2 7" xfId="498" xr:uid="{00000000-0005-0000-0000-0000A9030000}"/>
    <cellStyle name="Įprastas 5 4 2 2_8 priedas" xfId="1099" xr:uid="{00000000-0005-0000-0000-0000AA030000}"/>
    <cellStyle name="Įprastas 5 4 2 3" xfId="340" xr:uid="{00000000-0005-0000-0000-0000AB030000}"/>
    <cellStyle name="Įprastas 5 4 2 3 2" xfId="341" xr:uid="{00000000-0005-0000-0000-0000AC030000}"/>
    <cellStyle name="Įprastas 5 4 2 3 2 2" xfId="342" xr:uid="{00000000-0005-0000-0000-0000AD030000}"/>
    <cellStyle name="Įprastas 5 4 2 3 2 2 2" xfId="702" xr:uid="{00000000-0005-0000-0000-0000AE030000}"/>
    <cellStyle name="Įprastas 5 4 2 3 2 2_8 priedas" xfId="1083" xr:uid="{00000000-0005-0000-0000-0000AF030000}"/>
    <cellStyle name="Įprastas 5 4 2 3 2 3" xfId="343" xr:uid="{00000000-0005-0000-0000-0000B0030000}"/>
    <cellStyle name="Įprastas 5 4 2 3 2 3 2" xfId="846" xr:uid="{00000000-0005-0000-0000-0000B1030000}"/>
    <cellStyle name="Įprastas 5 4 2 3 2 3_8 priedas" xfId="1308" xr:uid="{00000000-0005-0000-0000-0000B2030000}"/>
    <cellStyle name="Įprastas 5 4 2 3 2 4" xfId="558" xr:uid="{00000000-0005-0000-0000-0000B3030000}"/>
    <cellStyle name="Įprastas 5 4 2 3 2_8 priedas" xfId="1217" xr:uid="{00000000-0005-0000-0000-0000B4030000}"/>
    <cellStyle name="Įprastas 5 4 2 3 3" xfId="344" xr:uid="{00000000-0005-0000-0000-0000B5030000}"/>
    <cellStyle name="Įprastas 5 4 2 3 3 2" xfId="345" xr:uid="{00000000-0005-0000-0000-0000B6030000}"/>
    <cellStyle name="Įprastas 5 4 2 3 3 2 2" xfId="750" xr:uid="{00000000-0005-0000-0000-0000B7030000}"/>
    <cellStyle name="Įprastas 5 4 2 3 3 2_8 priedas" xfId="1035" xr:uid="{00000000-0005-0000-0000-0000B8030000}"/>
    <cellStyle name="Įprastas 5 4 2 3 3 3" xfId="346" xr:uid="{00000000-0005-0000-0000-0000B9030000}"/>
    <cellStyle name="Įprastas 5 4 2 3 3 3 2" xfId="894" xr:uid="{00000000-0005-0000-0000-0000BA030000}"/>
    <cellStyle name="Įprastas 5 4 2 3 3 3_8 priedas" xfId="1259" xr:uid="{00000000-0005-0000-0000-0000BB030000}"/>
    <cellStyle name="Įprastas 5 4 2 3 3 4" xfId="606" xr:uid="{00000000-0005-0000-0000-0000BC030000}"/>
    <cellStyle name="Įprastas 5 4 2 3 3_8 priedas" xfId="1171" xr:uid="{00000000-0005-0000-0000-0000BD030000}"/>
    <cellStyle name="Įprastas 5 4 2 3 4" xfId="347" xr:uid="{00000000-0005-0000-0000-0000BE030000}"/>
    <cellStyle name="Įprastas 5 4 2 3 4 2" xfId="654" xr:uid="{00000000-0005-0000-0000-0000BF030000}"/>
    <cellStyle name="Įprastas 5 4 2 3 4_8 priedas" xfId="1123" xr:uid="{00000000-0005-0000-0000-0000C0030000}"/>
    <cellStyle name="Įprastas 5 4 2 3 5" xfId="348" xr:uid="{00000000-0005-0000-0000-0000C1030000}"/>
    <cellStyle name="Įprastas 5 4 2 3 5 2" xfId="798" xr:uid="{00000000-0005-0000-0000-0000C2030000}"/>
    <cellStyle name="Įprastas 5 4 2 3 5_8 priedas" xfId="987" xr:uid="{00000000-0005-0000-0000-0000C3030000}"/>
    <cellStyle name="Įprastas 5 4 2 3 6" xfId="510" xr:uid="{00000000-0005-0000-0000-0000C4030000}"/>
    <cellStyle name="Įprastas 5 4 2 3_8 priedas" xfId="969" xr:uid="{00000000-0005-0000-0000-0000C5030000}"/>
    <cellStyle name="Įprastas 5 4 2 4" xfId="349" xr:uid="{00000000-0005-0000-0000-0000C6030000}"/>
    <cellStyle name="Įprastas 5 4 2 4 2" xfId="350" xr:uid="{00000000-0005-0000-0000-0000C7030000}"/>
    <cellStyle name="Įprastas 5 4 2 4 2 2" xfId="678" xr:uid="{00000000-0005-0000-0000-0000C8030000}"/>
    <cellStyle name="Įprastas 5 4 2 4 2_8 priedas" xfId="1205" xr:uid="{00000000-0005-0000-0000-0000C9030000}"/>
    <cellStyle name="Įprastas 5 4 2 4 3" xfId="351" xr:uid="{00000000-0005-0000-0000-0000CA030000}"/>
    <cellStyle name="Įprastas 5 4 2 4 3 2" xfId="822" xr:uid="{00000000-0005-0000-0000-0000CB030000}"/>
    <cellStyle name="Įprastas 5 4 2 4 3_8 priedas" xfId="1071" xr:uid="{00000000-0005-0000-0000-0000CC030000}"/>
    <cellStyle name="Įprastas 5 4 2 4 4" xfId="534" xr:uid="{00000000-0005-0000-0000-0000CD030000}"/>
    <cellStyle name="Įprastas 5 4 2 4_8 priedas" xfId="946" xr:uid="{00000000-0005-0000-0000-0000CE030000}"/>
    <cellStyle name="Įprastas 5 4 2 5" xfId="352" xr:uid="{00000000-0005-0000-0000-0000CF030000}"/>
    <cellStyle name="Įprastas 5 4 2 5 2" xfId="353" xr:uid="{00000000-0005-0000-0000-0000D0030000}"/>
    <cellStyle name="Įprastas 5 4 2 5 2 2" xfId="726" xr:uid="{00000000-0005-0000-0000-0000D1030000}"/>
    <cellStyle name="Įprastas 5 4 2 5 2_8 priedas" xfId="1159" xr:uid="{00000000-0005-0000-0000-0000D2030000}"/>
    <cellStyle name="Įprastas 5 4 2 5 3" xfId="354" xr:uid="{00000000-0005-0000-0000-0000D3030000}"/>
    <cellStyle name="Įprastas 5 4 2 5 3 2" xfId="870" xr:uid="{00000000-0005-0000-0000-0000D4030000}"/>
    <cellStyle name="Įprastas 5 4 2 5 3_8 priedas" xfId="1024" xr:uid="{00000000-0005-0000-0000-0000D5030000}"/>
    <cellStyle name="Įprastas 5 4 2 5 4" xfId="582" xr:uid="{00000000-0005-0000-0000-0000D6030000}"/>
    <cellStyle name="Įprastas 5 4 2 5_8 priedas" xfId="1296" xr:uid="{00000000-0005-0000-0000-0000D7030000}"/>
    <cellStyle name="Įprastas 5 4 2 6" xfId="355" xr:uid="{00000000-0005-0000-0000-0000D8030000}"/>
    <cellStyle name="Įprastas 5 4 2 6 2" xfId="630" xr:uid="{00000000-0005-0000-0000-0000D9030000}"/>
    <cellStyle name="Įprastas 5 4 2 6_8 priedas" xfId="1249" xr:uid="{00000000-0005-0000-0000-0000DA030000}"/>
    <cellStyle name="Įprastas 5 4 2 7" xfId="356" xr:uid="{00000000-0005-0000-0000-0000DB030000}"/>
    <cellStyle name="Įprastas 5 4 2 7 2" xfId="774" xr:uid="{00000000-0005-0000-0000-0000DC030000}"/>
    <cellStyle name="Įprastas 5 4 2 7_8 priedas" xfId="1116" xr:uid="{00000000-0005-0000-0000-0000DD030000}"/>
    <cellStyle name="Įprastas 5 4 2 8" xfId="486" xr:uid="{00000000-0005-0000-0000-0000DE030000}"/>
    <cellStyle name="Įprastas 5 4 2_8 priedas" xfId="321" xr:uid="{00000000-0005-0000-0000-0000DF030000}"/>
    <cellStyle name="Įprastas 5 4 3" xfId="357" xr:uid="{00000000-0005-0000-0000-0000E0030000}"/>
    <cellStyle name="Įprastas 5 4 3 2" xfId="358" xr:uid="{00000000-0005-0000-0000-0000E1030000}"/>
    <cellStyle name="Įprastas 5 4 3 2 2" xfId="359" xr:uid="{00000000-0005-0000-0000-0000E2030000}"/>
    <cellStyle name="Įprastas 5 4 3 2 2 2" xfId="360" xr:uid="{00000000-0005-0000-0000-0000E3030000}"/>
    <cellStyle name="Įprastas 5 4 3 2 2 2 2" xfId="709" xr:uid="{00000000-0005-0000-0000-0000E4030000}"/>
    <cellStyle name="Įprastas 5 4 3 2 2 2_8 priedas" xfId="1183" xr:uid="{00000000-0005-0000-0000-0000E5030000}"/>
    <cellStyle name="Įprastas 5 4 3 2 2 3" xfId="361" xr:uid="{00000000-0005-0000-0000-0000E6030000}"/>
    <cellStyle name="Įprastas 5 4 3 2 2 3 2" xfId="853" xr:uid="{00000000-0005-0000-0000-0000E7030000}"/>
    <cellStyle name="Įprastas 5 4 3 2 2 3_8 priedas" xfId="1047" xr:uid="{00000000-0005-0000-0000-0000E8030000}"/>
    <cellStyle name="Įprastas 5 4 3 2 2 4" xfId="565" xr:uid="{00000000-0005-0000-0000-0000E9030000}"/>
    <cellStyle name="Įprastas 5 4 3 2 2_8 priedas" xfId="1320" xr:uid="{00000000-0005-0000-0000-0000EA030000}"/>
    <cellStyle name="Įprastas 5 4 3 2 3" xfId="362" xr:uid="{00000000-0005-0000-0000-0000EB030000}"/>
    <cellStyle name="Įprastas 5 4 3 2 3 2" xfId="363" xr:uid="{00000000-0005-0000-0000-0000EC030000}"/>
    <cellStyle name="Įprastas 5 4 3 2 3 2 2" xfId="757" xr:uid="{00000000-0005-0000-0000-0000ED030000}"/>
    <cellStyle name="Įprastas 5 4 3 2 3 2_8 priedas" xfId="1135" xr:uid="{00000000-0005-0000-0000-0000EE030000}"/>
    <cellStyle name="Įprastas 5 4 3 2 3 3" xfId="364" xr:uid="{00000000-0005-0000-0000-0000EF030000}"/>
    <cellStyle name="Įprastas 5 4 3 2 3 3 2" xfId="901" xr:uid="{00000000-0005-0000-0000-0000F0030000}"/>
    <cellStyle name="Įprastas 5 4 3 2 3 3_8 priedas" xfId="999" xr:uid="{00000000-0005-0000-0000-0000F1030000}"/>
    <cellStyle name="Įprastas 5 4 3 2 3 4" xfId="613" xr:uid="{00000000-0005-0000-0000-0000F2030000}"/>
    <cellStyle name="Įprastas 5 4 3 2 3_8 priedas" xfId="1271" xr:uid="{00000000-0005-0000-0000-0000F3030000}"/>
    <cellStyle name="Įprastas 5 4 3 2 4" xfId="365" xr:uid="{00000000-0005-0000-0000-0000F4030000}"/>
    <cellStyle name="Įprastas 5 4 3 2 4 2" xfId="661" xr:uid="{00000000-0005-0000-0000-0000F5030000}"/>
    <cellStyle name="Įprastas 5 4 3 2 4_8 priedas" xfId="958" xr:uid="{00000000-0005-0000-0000-0000F6030000}"/>
    <cellStyle name="Įprastas 5 4 3 2 5" xfId="366" xr:uid="{00000000-0005-0000-0000-0000F7030000}"/>
    <cellStyle name="Įprastas 5 4 3 2 5 2" xfId="805" xr:uid="{00000000-0005-0000-0000-0000F8030000}"/>
    <cellStyle name="Įprastas 5 4 3 2 5_8 priedas" xfId="929" xr:uid="{00000000-0005-0000-0000-0000F9030000}"/>
    <cellStyle name="Įprastas 5 4 3 2 6" xfId="517" xr:uid="{00000000-0005-0000-0000-0000FA030000}"/>
    <cellStyle name="Įprastas 5 4 3 2_8 priedas" xfId="1095" xr:uid="{00000000-0005-0000-0000-0000FB030000}"/>
    <cellStyle name="Įprastas 5 4 3 3" xfId="367" xr:uid="{00000000-0005-0000-0000-0000FC030000}"/>
    <cellStyle name="Įprastas 5 4 3 3 2" xfId="368" xr:uid="{00000000-0005-0000-0000-0000FD030000}"/>
    <cellStyle name="Įprastas 5 4 3 3 2 2" xfId="685" xr:uid="{00000000-0005-0000-0000-0000FE030000}"/>
    <cellStyle name="Įprastas 5 4 3 3 2_8 priedas" xfId="1201" xr:uid="{00000000-0005-0000-0000-0000FF030000}"/>
    <cellStyle name="Įprastas 5 4 3 3 3" xfId="369" xr:uid="{00000000-0005-0000-0000-000000040000}"/>
    <cellStyle name="Įprastas 5 4 3 3 3 2" xfId="829" xr:uid="{00000000-0005-0000-0000-000001040000}"/>
    <cellStyle name="Įprastas 5 4 3 3 3_8 priedas" xfId="1067" xr:uid="{00000000-0005-0000-0000-000002040000}"/>
    <cellStyle name="Įprastas 5 4 3 3 4" xfId="541" xr:uid="{00000000-0005-0000-0000-000003040000}"/>
    <cellStyle name="Įprastas 5 4 3 3_8 priedas" xfId="938" xr:uid="{00000000-0005-0000-0000-000004040000}"/>
    <cellStyle name="Įprastas 5 4 3 4" xfId="370" xr:uid="{00000000-0005-0000-0000-000005040000}"/>
    <cellStyle name="Įprastas 5 4 3 4 2" xfId="371" xr:uid="{00000000-0005-0000-0000-000006040000}"/>
    <cellStyle name="Įprastas 5 4 3 4 2 2" xfId="733" xr:uid="{00000000-0005-0000-0000-000007040000}"/>
    <cellStyle name="Įprastas 5 4 3 4 2_8 priedas" xfId="1155" xr:uid="{00000000-0005-0000-0000-000008040000}"/>
    <cellStyle name="Įprastas 5 4 3 4 3" xfId="372" xr:uid="{00000000-0005-0000-0000-000009040000}"/>
    <cellStyle name="Įprastas 5 4 3 4 3 2" xfId="877" xr:uid="{00000000-0005-0000-0000-00000A040000}"/>
    <cellStyle name="Įprastas 5 4 3 4 3_8 priedas" xfId="1020" xr:uid="{00000000-0005-0000-0000-00000B040000}"/>
    <cellStyle name="Įprastas 5 4 3 4 4" xfId="589" xr:uid="{00000000-0005-0000-0000-00000C040000}"/>
    <cellStyle name="Įprastas 5 4 3 4_8 priedas" xfId="1292" xr:uid="{00000000-0005-0000-0000-00000D040000}"/>
    <cellStyle name="Įprastas 5 4 3 5" xfId="373" xr:uid="{00000000-0005-0000-0000-00000E040000}"/>
    <cellStyle name="Įprastas 5 4 3 5 2" xfId="637" xr:uid="{00000000-0005-0000-0000-00000F040000}"/>
    <cellStyle name="Įprastas 5 4 3 5_8 priedas" xfId="1245" xr:uid="{00000000-0005-0000-0000-000010040000}"/>
    <cellStyle name="Įprastas 5 4 3 6" xfId="374" xr:uid="{00000000-0005-0000-0000-000011040000}"/>
    <cellStyle name="Įprastas 5 4 3 6 2" xfId="781" xr:uid="{00000000-0005-0000-0000-000012040000}"/>
    <cellStyle name="Įprastas 5 4 3 6_8 priedas" xfId="1115" xr:uid="{00000000-0005-0000-0000-000013040000}"/>
    <cellStyle name="Įprastas 5 4 3 7" xfId="493" xr:uid="{00000000-0005-0000-0000-000014040000}"/>
    <cellStyle name="Įprastas 5 4 3_8 priedas" xfId="1229" xr:uid="{00000000-0005-0000-0000-000015040000}"/>
    <cellStyle name="Įprastas 5 4 4" xfId="375" xr:uid="{00000000-0005-0000-0000-000016040000}"/>
    <cellStyle name="Įprastas 5 4 4 2" xfId="376" xr:uid="{00000000-0005-0000-0000-000017040000}"/>
    <cellStyle name="Įprastas 5 4 4 2 2" xfId="377" xr:uid="{00000000-0005-0000-0000-000018040000}"/>
    <cellStyle name="Įprastas 5 4 4 2 2 2" xfId="697" xr:uid="{00000000-0005-0000-0000-000019040000}"/>
    <cellStyle name="Įprastas 5 4 4 2 2_8 priedas" xfId="1091" xr:uid="{00000000-0005-0000-0000-00001A040000}"/>
    <cellStyle name="Įprastas 5 4 4 2 3" xfId="378" xr:uid="{00000000-0005-0000-0000-00001B040000}"/>
    <cellStyle name="Įprastas 5 4 4 2 3 2" xfId="841" xr:uid="{00000000-0005-0000-0000-00001C040000}"/>
    <cellStyle name="Įprastas 5 4 4 2 3_8 priedas" xfId="1316" xr:uid="{00000000-0005-0000-0000-00001D040000}"/>
    <cellStyle name="Įprastas 5 4 4 2 4" xfId="553" xr:uid="{00000000-0005-0000-0000-00001E040000}"/>
    <cellStyle name="Įprastas 5 4 4 2_8 priedas" xfId="1225" xr:uid="{00000000-0005-0000-0000-00001F040000}"/>
    <cellStyle name="Įprastas 5 4 4 3" xfId="379" xr:uid="{00000000-0005-0000-0000-000020040000}"/>
    <cellStyle name="Įprastas 5 4 4 3 2" xfId="380" xr:uid="{00000000-0005-0000-0000-000021040000}"/>
    <cellStyle name="Įprastas 5 4 4 3 2 2" xfId="745" xr:uid="{00000000-0005-0000-0000-000022040000}"/>
    <cellStyle name="Įprastas 5 4 4 3 2_8 priedas" xfId="1043" xr:uid="{00000000-0005-0000-0000-000023040000}"/>
    <cellStyle name="Įprastas 5 4 4 3 3" xfId="381" xr:uid="{00000000-0005-0000-0000-000024040000}"/>
    <cellStyle name="Įprastas 5 4 4 3 3 2" xfId="889" xr:uid="{00000000-0005-0000-0000-000025040000}"/>
    <cellStyle name="Įprastas 5 4 4 3 3_8 priedas" xfId="1267" xr:uid="{00000000-0005-0000-0000-000026040000}"/>
    <cellStyle name="Įprastas 5 4 4 3 4" xfId="601" xr:uid="{00000000-0005-0000-0000-000027040000}"/>
    <cellStyle name="Įprastas 5 4 4 3_8 priedas" xfId="1179" xr:uid="{00000000-0005-0000-0000-000028040000}"/>
    <cellStyle name="Įprastas 5 4 4 4" xfId="382" xr:uid="{00000000-0005-0000-0000-000029040000}"/>
    <cellStyle name="Įprastas 5 4 4 4 2" xfId="649" xr:uid="{00000000-0005-0000-0000-00002A040000}"/>
    <cellStyle name="Įprastas 5 4 4 4_8 priedas" xfId="1131" xr:uid="{00000000-0005-0000-0000-00002B040000}"/>
    <cellStyle name="Įprastas 5 4 4 5" xfId="383" xr:uid="{00000000-0005-0000-0000-00002C040000}"/>
    <cellStyle name="Įprastas 5 4 4 5 2" xfId="793" xr:uid="{00000000-0005-0000-0000-00002D040000}"/>
    <cellStyle name="Įprastas 5 4 4 5_8 priedas" xfId="995" xr:uid="{00000000-0005-0000-0000-00002E040000}"/>
    <cellStyle name="Įprastas 5 4 4 6" xfId="505" xr:uid="{00000000-0005-0000-0000-00002F040000}"/>
    <cellStyle name="Įprastas 5 4 4_8 priedas" xfId="979" xr:uid="{00000000-0005-0000-0000-000030040000}"/>
    <cellStyle name="Įprastas 5 4 5" xfId="384" xr:uid="{00000000-0005-0000-0000-000031040000}"/>
    <cellStyle name="Įprastas 5 4 5 2" xfId="385" xr:uid="{00000000-0005-0000-0000-000032040000}"/>
    <cellStyle name="Įprastas 5 4 5 2 2" xfId="673" xr:uid="{00000000-0005-0000-0000-000033040000}"/>
    <cellStyle name="Įprastas 5 4 5 2_8 priedas" xfId="1213" xr:uid="{00000000-0005-0000-0000-000034040000}"/>
    <cellStyle name="Įprastas 5 4 5 3" xfId="386" xr:uid="{00000000-0005-0000-0000-000035040000}"/>
    <cellStyle name="Įprastas 5 4 5 3 2" xfId="817" xr:uid="{00000000-0005-0000-0000-000036040000}"/>
    <cellStyle name="Įprastas 5 4 5 3_8 priedas" xfId="1079" xr:uid="{00000000-0005-0000-0000-000037040000}"/>
    <cellStyle name="Įprastas 5 4 5 4" xfId="529" xr:uid="{00000000-0005-0000-0000-000038040000}"/>
    <cellStyle name="Įprastas 5 4 5_8 priedas" xfId="954" xr:uid="{00000000-0005-0000-0000-000039040000}"/>
    <cellStyle name="Įprastas 5 4 6" xfId="387" xr:uid="{00000000-0005-0000-0000-00003A040000}"/>
    <cellStyle name="Įprastas 5 4 6 2" xfId="388" xr:uid="{00000000-0005-0000-0000-00003B040000}"/>
    <cellStyle name="Įprastas 5 4 6 2 2" xfId="721" xr:uid="{00000000-0005-0000-0000-00003C040000}"/>
    <cellStyle name="Įprastas 5 4 6 2_8 priedas" xfId="1167" xr:uid="{00000000-0005-0000-0000-00003D040000}"/>
    <cellStyle name="Įprastas 5 4 6 3" xfId="389" xr:uid="{00000000-0005-0000-0000-00003E040000}"/>
    <cellStyle name="Įprastas 5 4 6 3 2" xfId="865" xr:uid="{00000000-0005-0000-0000-00003F040000}"/>
    <cellStyle name="Įprastas 5 4 6 3_8 priedas" xfId="1031" xr:uid="{00000000-0005-0000-0000-000040040000}"/>
    <cellStyle name="Įprastas 5 4 6 4" xfId="577" xr:uid="{00000000-0005-0000-0000-000041040000}"/>
    <cellStyle name="Įprastas 5 4 6_8 priedas" xfId="1304" xr:uid="{00000000-0005-0000-0000-000042040000}"/>
    <cellStyle name="Įprastas 5 4 7" xfId="390" xr:uid="{00000000-0005-0000-0000-000043040000}"/>
    <cellStyle name="Įprastas 5 4 7 2" xfId="625" xr:uid="{00000000-0005-0000-0000-000044040000}"/>
    <cellStyle name="Įprastas 5 4 7_8 priedas" xfId="1255" xr:uid="{00000000-0005-0000-0000-000045040000}"/>
    <cellStyle name="Įprastas 5 4 8" xfId="391" xr:uid="{00000000-0005-0000-0000-000046040000}"/>
    <cellStyle name="Įprastas 5 4 8 2" xfId="769" xr:uid="{00000000-0005-0000-0000-000047040000}"/>
    <cellStyle name="Įprastas 5 4 8_8 priedas" xfId="1119" xr:uid="{00000000-0005-0000-0000-000048040000}"/>
    <cellStyle name="Įprastas 5 4 9" xfId="481" xr:uid="{00000000-0005-0000-0000-000049040000}"/>
    <cellStyle name="Įprastas 5 4_8 priedas" xfId="31" xr:uid="{00000000-0005-0000-0000-00004A040000}"/>
    <cellStyle name="Įprastas 5 5" xfId="22" xr:uid="{00000000-0005-0000-0000-00004B040000}"/>
    <cellStyle name="Įprastas 5 5 2" xfId="393" xr:uid="{00000000-0005-0000-0000-00004C040000}"/>
    <cellStyle name="Įprastas 5 5 2 2" xfId="394" xr:uid="{00000000-0005-0000-0000-00004D040000}"/>
    <cellStyle name="Įprastas 5 5 2 2 2" xfId="395" xr:uid="{00000000-0005-0000-0000-00004E040000}"/>
    <cellStyle name="Įprastas 5 5 2 2 2 2" xfId="396" xr:uid="{00000000-0005-0000-0000-00004F040000}"/>
    <cellStyle name="Įprastas 5 5 2 2 2 2 2" xfId="710" xr:uid="{00000000-0005-0000-0000-000050040000}"/>
    <cellStyle name="Įprastas 5 5 2 2 2 2_8 priedas" xfId="1054" xr:uid="{00000000-0005-0000-0000-000051040000}"/>
    <cellStyle name="Įprastas 5 5 2 2 2 3" xfId="397" xr:uid="{00000000-0005-0000-0000-000052040000}"/>
    <cellStyle name="Įprastas 5 5 2 2 2 3 2" xfId="854" xr:uid="{00000000-0005-0000-0000-000053040000}"/>
    <cellStyle name="Įprastas 5 5 2 2 2 3_8 priedas" xfId="1278" xr:uid="{00000000-0005-0000-0000-000054040000}"/>
    <cellStyle name="Įprastas 5 5 2 2 2 4" xfId="566" xr:uid="{00000000-0005-0000-0000-000055040000}"/>
    <cellStyle name="Įprastas 5 5 2 2 2_8 priedas" xfId="1190" xr:uid="{00000000-0005-0000-0000-000056040000}"/>
    <cellStyle name="Įprastas 5 5 2 2 3" xfId="398" xr:uid="{00000000-0005-0000-0000-000057040000}"/>
    <cellStyle name="Įprastas 5 5 2 2 3 2" xfId="399" xr:uid="{00000000-0005-0000-0000-000058040000}"/>
    <cellStyle name="Įprastas 5 5 2 2 3 2 2" xfId="758" xr:uid="{00000000-0005-0000-0000-000059040000}"/>
    <cellStyle name="Įprastas 5 5 2 2 3 2_8 priedas" xfId="1006" xr:uid="{00000000-0005-0000-0000-00005A040000}"/>
    <cellStyle name="Įprastas 5 5 2 2 3 3" xfId="400" xr:uid="{00000000-0005-0000-0000-00005B040000}"/>
    <cellStyle name="Įprastas 5 5 2 2 3 3 2" xfId="902" xr:uid="{00000000-0005-0000-0000-00005C040000}"/>
    <cellStyle name="Įprastas 5 5 2 2 3 3_8 priedas" xfId="965" xr:uid="{00000000-0005-0000-0000-00005D040000}"/>
    <cellStyle name="Įprastas 5 5 2 2 3 4" xfId="614" xr:uid="{00000000-0005-0000-0000-00005E040000}"/>
    <cellStyle name="Įprastas 5 5 2 2 3_8 priedas" xfId="1142" xr:uid="{00000000-0005-0000-0000-00005F040000}"/>
    <cellStyle name="Įprastas 5 5 2 2 4" xfId="401" xr:uid="{00000000-0005-0000-0000-000060040000}"/>
    <cellStyle name="Įprastas 5 5 2 2 4 2" xfId="662" xr:uid="{00000000-0005-0000-0000-000061040000}"/>
    <cellStyle name="Įprastas 5 5 2 2 4_8 priedas" xfId="936" xr:uid="{00000000-0005-0000-0000-000062040000}"/>
    <cellStyle name="Įprastas 5 5 2 2 5" xfId="402" xr:uid="{00000000-0005-0000-0000-000063040000}"/>
    <cellStyle name="Įprastas 5 5 2 2 5 2" xfId="806" xr:uid="{00000000-0005-0000-0000-000064040000}"/>
    <cellStyle name="Įprastas 5 5 2 2 5_8 priedas" xfId="919" xr:uid="{00000000-0005-0000-0000-000065040000}"/>
    <cellStyle name="Įprastas 5 5 2 2 6" xfId="518" xr:uid="{00000000-0005-0000-0000-000066040000}"/>
    <cellStyle name="Įprastas 5 5 2 2_8 priedas" xfId="1327" xr:uid="{00000000-0005-0000-0000-000067040000}"/>
    <cellStyle name="Įprastas 5 5 2 3" xfId="403" xr:uid="{00000000-0005-0000-0000-000068040000}"/>
    <cellStyle name="Įprastas 5 5 2 3 2" xfId="404" xr:uid="{00000000-0005-0000-0000-000069040000}"/>
    <cellStyle name="Įprastas 5 5 2 3 2 2" xfId="686" xr:uid="{00000000-0005-0000-0000-00006A040000}"/>
    <cellStyle name="Įprastas 5 5 2 3 2_8 priedas" xfId="920" xr:uid="{00000000-0005-0000-0000-00006B040000}"/>
    <cellStyle name="Įprastas 5 5 2 3 3" xfId="405" xr:uid="{00000000-0005-0000-0000-00006C040000}"/>
    <cellStyle name="Įprastas 5 5 2 3 3 2" xfId="830" xr:uid="{00000000-0005-0000-0000-00006D040000}"/>
    <cellStyle name="Įprastas 5 5 2 3 3_8 priedas" xfId="1191" xr:uid="{00000000-0005-0000-0000-00006E040000}"/>
    <cellStyle name="Įprastas 5 5 2 3 4" xfId="542" xr:uid="{00000000-0005-0000-0000-00006F040000}"/>
    <cellStyle name="Įprastas 5 5 2 3_8 priedas" xfId="909" xr:uid="{00000000-0005-0000-0000-000070040000}"/>
    <cellStyle name="Įprastas 5 5 2 4" xfId="406" xr:uid="{00000000-0005-0000-0000-000071040000}"/>
    <cellStyle name="Įprastas 5 5 2 4 2" xfId="407" xr:uid="{00000000-0005-0000-0000-000072040000}"/>
    <cellStyle name="Įprastas 5 5 2 4 2 2" xfId="734" xr:uid="{00000000-0005-0000-0000-000073040000}"/>
    <cellStyle name="Įprastas 5 5 2 4 2_8 priedas" xfId="1281" xr:uid="{00000000-0005-0000-0000-000074040000}"/>
    <cellStyle name="Įprastas 5 5 2 4 3" xfId="408" xr:uid="{00000000-0005-0000-0000-000075040000}"/>
    <cellStyle name="Įprastas 5 5 2 4 3 2" xfId="878" xr:uid="{00000000-0005-0000-0000-000076040000}"/>
    <cellStyle name="Įprastas 5 5 2 4 3_8 priedas" xfId="1145" xr:uid="{00000000-0005-0000-0000-000077040000}"/>
    <cellStyle name="Įprastas 5 5 2 4 4" xfId="590" xr:uid="{00000000-0005-0000-0000-000078040000}"/>
    <cellStyle name="Įprastas 5 5 2 4_8 priedas" xfId="1056" xr:uid="{00000000-0005-0000-0000-000079040000}"/>
    <cellStyle name="Įprastas 5 5 2 5" xfId="409" xr:uid="{00000000-0005-0000-0000-00007A040000}"/>
    <cellStyle name="Įprastas 5 5 2 5 2" xfId="638" xr:uid="{00000000-0005-0000-0000-00007B040000}"/>
    <cellStyle name="Įprastas 5 5 2 5_8 priedas" xfId="1009" xr:uid="{00000000-0005-0000-0000-00007C040000}"/>
    <cellStyle name="Įprastas 5 5 2 6" xfId="410" xr:uid="{00000000-0005-0000-0000-00007D040000}"/>
    <cellStyle name="Įprastas 5 5 2 6 2" xfId="782" xr:uid="{00000000-0005-0000-0000-00007E040000}"/>
    <cellStyle name="Įprastas 5 5 2 6_8 priedas" xfId="1235" xr:uid="{00000000-0005-0000-0000-00007F040000}"/>
    <cellStyle name="Įprastas 5 5 2 7" xfId="494" xr:uid="{00000000-0005-0000-0000-000080040000}"/>
    <cellStyle name="Įprastas 5 5 2_8 priedas" xfId="1102" xr:uid="{00000000-0005-0000-0000-000081040000}"/>
    <cellStyle name="Įprastas 5 5 3" xfId="411" xr:uid="{00000000-0005-0000-0000-000082040000}"/>
    <cellStyle name="Įprastas 5 5 3 2" xfId="412" xr:uid="{00000000-0005-0000-0000-000083040000}"/>
    <cellStyle name="Įprastas 5 5 3 2 2" xfId="413" xr:uid="{00000000-0005-0000-0000-000084040000}"/>
    <cellStyle name="Įprastas 5 5 3 2 2 2" xfId="698" xr:uid="{00000000-0005-0000-0000-000085040000}"/>
    <cellStyle name="Įprastas 5 5 3 2 2_8 priedas" xfId="1216" xr:uid="{00000000-0005-0000-0000-000086040000}"/>
    <cellStyle name="Įprastas 5 5 3 2 3" xfId="414" xr:uid="{00000000-0005-0000-0000-000087040000}"/>
    <cellStyle name="Įprastas 5 5 3 2 3 2" xfId="842" xr:uid="{00000000-0005-0000-0000-000088040000}"/>
    <cellStyle name="Įprastas 5 5 3 2 3_8 priedas" xfId="1082" xr:uid="{00000000-0005-0000-0000-000089040000}"/>
    <cellStyle name="Įprastas 5 5 3 2 4" xfId="554" xr:uid="{00000000-0005-0000-0000-00008A040000}"/>
    <cellStyle name="Įprastas 5 5 3 2_8 priedas" xfId="968" xr:uid="{00000000-0005-0000-0000-00008B040000}"/>
    <cellStyle name="Įprastas 5 5 3 3" xfId="415" xr:uid="{00000000-0005-0000-0000-00008C040000}"/>
    <cellStyle name="Įprastas 5 5 3 3 2" xfId="416" xr:uid="{00000000-0005-0000-0000-00008D040000}"/>
    <cellStyle name="Įprastas 5 5 3 3 2 2" xfId="746" xr:uid="{00000000-0005-0000-0000-00008E040000}"/>
    <cellStyle name="Įprastas 5 5 3 3 2_8 priedas" xfId="1170" xr:uid="{00000000-0005-0000-0000-00008F040000}"/>
    <cellStyle name="Įprastas 5 5 3 3 3" xfId="417" xr:uid="{00000000-0005-0000-0000-000090040000}"/>
    <cellStyle name="Įprastas 5 5 3 3 3 2" xfId="890" xr:uid="{00000000-0005-0000-0000-000091040000}"/>
    <cellStyle name="Įprastas 5 5 3 3 3_8 priedas" xfId="1034" xr:uid="{00000000-0005-0000-0000-000092040000}"/>
    <cellStyle name="Įprastas 5 5 3 3 4" xfId="602" xr:uid="{00000000-0005-0000-0000-000093040000}"/>
    <cellStyle name="Įprastas 5 5 3 3_8 priedas" xfId="1307" xr:uid="{00000000-0005-0000-0000-000094040000}"/>
    <cellStyle name="Įprastas 5 5 3 4" xfId="418" xr:uid="{00000000-0005-0000-0000-000095040000}"/>
    <cellStyle name="Įprastas 5 5 3 4 2" xfId="650" xr:uid="{00000000-0005-0000-0000-000096040000}"/>
    <cellStyle name="Įprastas 5 5 3 4_8 priedas" xfId="1258" xr:uid="{00000000-0005-0000-0000-000097040000}"/>
    <cellStyle name="Įprastas 5 5 3 5" xfId="419" xr:uid="{00000000-0005-0000-0000-000098040000}"/>
    <cellStyle name="Įprastas 5 5 3 5 2" xfId="794" xr:uid="{00000000-0005-0000-0000-000099040000}"/>
    <cellStyle name="Įprastas 5 5 3 5_8 priedas" xfId="1122" xr:uid="{00000000-0005-0000-0000-00009A040000}"/>
    <cellStyle name="Įprastas 5 5 3 6" xfId="506" xr:uid="{00000000-0005-0000-0000-00009B040000}"/>
    <cellStyle name="Įprastas 5 5 3_8 priedas" xfId="1105" xr:uid="{00000000-0005-0000-0000-00009C040000}"/>
    <cellStyle name="Įprastas 5 5 4" xfId="420" xr:uid="{00000000-0005-0000-0000-00009D040000}"/>
    <cellStyle name="Įprastas 5 5 4 2" xfId="421" xr:uid="{00000000-0005-0000-0000-00009E040000}"/>
    <cellStyle name="Įprastas 5 5 4 2 2" xfId="674" xr:uid="{00000000-0005-0000-0000-00009F040000}"/>
    <cellStyle name="Įprastas 5 5 4 2_8 priedas" xfId="945" xr:uid="{00000000-0005-0000-0000-0000A0040000}"/>
    <cellStyle name="Įprastas 5 5 4 3" xfId="422" xr:uid="{00000000-0005-0000-0000-0000A1040000}"/>
    <cellStyle name="Įprastas 5 5 4 3 2" xfId="818" xr:uid="{00000000-0005-0000-0000-0000A2040000}"/>
    <cellStyle name="Įprastas 5 5 4 3_8 priedas" xfId="1204" xr:uid="{00000000-0005-0000-0000-0000A3040000}"/>
    <cellStyle name="Įprastas 5 5 4 4" xfId="530" xr:uid="{00000000-0005-0000-0000-0000A4040000}"/>
    <cellStyle name="Įprastas 5 5 4_8 priedas" xfId="986" xr:uid="{00000000-0005-0000-0000-0000A5040000}"/>
    <cellStyle name="Įprastas 5 5 5" xfId="423" xr:uid="{00000000-0005-0000-0000-0000A6040000}"/>
    <cellStyle name="Įprastas 5 5 5 2" xfId="424" xr:uid="{00000000-0005-0000-0000-0000A7040000}"/>
    <cellStyle name="Įprastas 5 5 5 2 2" xfId="722" xr:uid="{00000000-0005-0000-0000-0000A8040000}"/>
    <cellStyle name="Įprastas 5 5 5 2_8 priedas" xfId="1295" xr:uid="{00000000-0005-0000-0000-0000A9040000}"/>
    <cellStyle name="Įprastas 5 5 5 3" xfId="425" xr:uid="{00000000-0005-0000-0000-0000AA040000}"/>
    <cellStyle name="Įprastas 5 5 5 3 2" xfId="866" xr:uid="{00000000-0005-0000-0000-0000AB040000}"/>
    <cellStyle name="Įprastas 5 5 5 3_8 priedas" xfId="1158" xr:uid="{00000000-0005-0000-0000-0000AC040000}"/>
    <cellStyle name="Įprastas 5 5 5 4" xfId="578" xr:uid="{00000000-0005-0000-0000-0000AD040000}"/>
    <cellStyle name="Įprastas 5 5 5_8 priedas" xfId="1070" xr:uid="{00000000-0005-0000-0000-0000AE040000}"/>
    <cellStyle name="Įprastas 5 5 6" xfId="426" xr:uid="{00000000-0005-0000-0000-0000AF040000}"/>
    <cellStyle name="Įprastas 5 5 6 2" xfId="626" xr:uid="{00000000-0005-0000-0000-0000B0040000}"/>
    <cellStyle name="Įprastas 5 5 6_8 priedas" xfId="1023" xr:uid="{00000000-0005-0000-0000-0000B1040000}"/>
    <cellStyle name="Įprastas 5 5 7" xfId="427" xr:uid="{00000000-0005-0000-0000-0000B2040000}"/>
    <cellStyle name="Įprastas 5 5 7 2" xfId="770" xr:uid="{00000000-0005-0000-0000-0000B3040000}"/>
    <cellStyle name="Įprastas 5 5 7_8 priedas" xfId="1248" xr:uid="{00000000-0005-0000-0000-0000B4040000}"/>
    <cellStyle name="Įprastas 5 5 8" xfId="482" xr:uid="{00000000-0005-0000-0000-0000B5040000}"/>
    <cellStyle name="Įprastas 5 5_8 priedas" xfId="392" xr:uid="{00000000-0005-0000-0000-0000B6040000}"/>
    <cellStyle name="Įprastas 5 6" xfId="428" xr:uid="{00000000-0005-0000-0000-0000B7040000}"/>
    <cellStyle name="Įprastas 5 6 2" xfId="429" xr:uid="{00000000-0005-0000-0000-0000B8040000}"/>
    <cellStyle name="Įprastas 5 6 2 2" xfId="430" xr:uid="{00000000-0005-0000-0000-0000B9040000}"/>
    <cellStyle name="Įprastas 5 6 2 2 2" xfId="431" xr:uid="{00000000-0005-0000-0000-0000BA040000}"/>
    <cellStyle name="Įprastas 5 6 2 2 2 2" xfId="704" xr:uid="{00000000-0005-0000-0000-0000BB040000}"/>
    <cellStyle name="Įprastas 5 6 2 2 2_8 priedas" xfId="1319" xr:uid="{00000000-0005-0000-0000-0000BC040000}"/>
    <cellStyle name="Įprastas 5 6 2 2 3" xfId="432" xr:uid="{00000000-0005-0000-0000-0000BD040000}"/>
    <cellStyle name="Įprastas 5 6 2 2 3 2" xfId="848" xr:uid="{00000000-0005-0000-0000-0000BE040000}"/>
    <cellStyle name="Įprastas 5 6 2 2 3_8 priedas" xfId="1182" xr:uid="{00000000-0005-0000-0000-0000BF040000}"/>
    <cellStyle name="Įprastas 5 6 2 2 4" xfId="560" xr:uid="{00000000-0005-0000-0000-0000C0040000}"/>
    <cellStyle name="Įprastas 5 6 2 2_8 priedas" xfId="1094" xr:uid="{00000000-0005-0000-0000-0000C1040000}"/>
    <cellStyle name="Įprastas 5 6 2 3" xfId="433" xr:uid="{00000000-0005-0000-0000-0000C2040000}"/>
    <cellStyle name="Įprastas 5 6 2 3 2" xfId="434" xr:uid="{00000000-0005-0000-0000-0000C3040000}"/>
    <cellStyle name="Įprastas 5 6 2 3 2 2" xfId="752" xr:uid="{00000000-0005-0000-0000-0000C4040000}"/>
    <cellStyle name="Įprastas 5 6 2 3 2_8 priedas" xfId="1270" xr:uid="{00000000-0005-0000-0000-0000C5040000}"/>
    <cellStyle name="Įprastas 5 6 2 3 3" xfId="435" xr:uid="{00000000-0005-0000-0000-0000C6040000}"/>
    <cellStyle name="Įprastas 5 6 2 3 3 2" xfId="896" xr:uid="{00000000-0005-0000-0000-0000C7040000}"/>
    <cellStyle name="Įprastas 5 6 2 3 3_8 priedas" xfId="1134" xr:uid="{00000000-0005-0000-0000-0000C8040000}"/>
    <cellStyle name="Įprastas 5 6 2 3 4" xfId="608" xr:uid="{00000000-0005-0000-0000-0000C9040000}"/>
    <cellStyle name="Įprastas 5 6 2 3_8 priedas" xfId="1046" xr:uid="{00000000-0005-0000-0000-0000CA040000}"/>
    <cellStyle name="Įprastas 5 6 2 4" xfId="436" xr:uid="{00000000-0005-0000-0000-0000CB040000}"/>
    <cellStyle name="Įprastas 5 6 2 4 2" xfId="656" xr:uid="{00000000-0005-0000-0000-0000CC040000}"/>
    <cellStyle name="Įprastas 5 6 2 4_8 priedas" xfId="998" xr:uid="{00000000-0005-0000-0000-0000CD040000}"/>
    <cellStyle name="Įprastas 5 6 2 5" xfId="437" xr:uid="{00000000-0005-0000-0000-0000CE040000}"/>
    <cellStyle name="Įprastas 5 6 2 5 2" xfId="800" xr:uid="{00000000-0005-0000-0000-0000CF040000}"/>
    <cellStyle name="Įprastas 5 6 2 5_8 priedas" xfId="957" xr:uid="{00000000-0005-0000-0000-0000D0040000}"/>
    <cellStyle name="Įprastas 5 6 2 6" xfId="512" xr:uid="{00000000-0005-0000-0000-0000D1040000}"/>
    <cellStyle name="Įprastas 5 6 2_8 priedas" xfId="1228" xr:uid="{00000000-0005-0000-0000-0000D2040000}"/>
    <cellStyle name="Įprastas 5 6 3" xfId="438" xr:uid="{00000000-0005-0000-0000-0000D3040000}"/>
    <cellStyle name="Įprastas 5 6 3 2" xfId="439" xr:uid="{00000000-0005-0000-0000-0000D4040000}"/>
    <cellStyle name="Įprastas 5 6 3 2 2" xfId="680" xr:uid="{00000000-0005-0000-0000-0000D5040000}"/>
    <cellStyle name="Įprastas 5 6 3 2_8 priedas" xfId="937" xr:uid="{00000000-0005-0000-0000-0000D6040000}"/>
    <cellStyle name="Įprastas 5 6 3 3" xfId="440" xr:uid="{00000000-0005-0000-0000-0000D7040000}"/>
    <cellStyle name="Įprastas 5 6 3 3 2" xfId="824" xr:uid="{00000000-0005-0000-0000-0000D8040000}"/>
    <cellStyle name="Įprastas 5 6 3 3_8 priedas" xfId="1199" xr:uid="{00000000-0005-0000-0000-0000D9040000}"/>
    <cellStyle name="Įprastas 5 6 3 4" xfId="536" xr:uid="{00000000-0005-0000-0000-0000DA040000}"/>
    <cellStyle name="Įprastas 5 6 3_8 priedas" xfId="928" xr:uid="{00000000-0005-0000-0000-0000DB040000}"/>
    <cellStyle name="Įprastas 5 6 4" xfId="441" xr:uid="{00000000-0005-0000-0000-0000DC040000}"/>
    <cellStyle name="Įprastas 5 6 4 2" xfId="442" xr:uid="{00000000-0005-0000-0000-0000DD040000}"/>
    <cellStyle name="Įprastas 5 6 4 2 2" xfId="728" xr:uid="{00000000-0005-0000-0000-0000DE040000}"/>
    <cellStyle name="Įprastas 5 6 4 2_8 priedas" xfId="1290" xr:uid="{00000000-0005-0000-0000-0000DF040000}"/>
    <cellStyle name="Įprastas 5 6 4 3" xfId="443" xr:uid="{00000000-0005-0000-0000-0000E0040000}"/>
    <cellStyle name="Įprastas 5 6 4 3 2" xfId="872" xr:uid="{00000000-0005-0000-0000-0000E1040000}"/>
    <cellStyle name="Įprastas 5 6 4 3_8 priedas" xfId="1153" xr:uid="{00000000-0005-0000-0000-0000E2040000}"/>
    <cellStyle name="Įprastas 5 6 4 4" xfId="584" xr:uid="{00000000-0005-0000-0000-0000E3040000}"/>
    <cellStyle name="Įprastas 5 6 4_8 priedas" xfId="1065" xr:uid="{00000000-0005-0000-0000-0000E4040000}"/>
    <cellStyle name="Įprastas 5 6 5" xfId="444" xr:uid="{00000000-0005-0000-0000-0000E5040000}"/>
    <cellStyle name="Įprastas 5 6 5 2" xfId="632" xr:uid="{00000000-0005-0000-0000-0000E6040000}"/>
    <cellStyle name="Įprastas 5 6 5_8 priedas" xfId="1018" xr:uid="{00000000-0005-0000-0000-0000E7040000}"/>
    <cellStyle name="Įprastas 5 6 6" xfId="445" xr:uid="{00000000-0005-0000-0000-0000E8040000}"/>
    <cellStyle name="Įprastas 5 6 6 2" xfId="776" xr:uid="{00000000-0005-0000-0000-0000E9040000}"/>
    <cellStyle name="Įprastas 5 6 6_8 priedas" xfId="1243" xr:uid="{00000000-0005-0000-0000-0000EA040000}"/>
    <cellStyle name="Įprastas 5 6 7" xfId="488" xr:uid="{00000000-0005-0000-0000-0000EB040000}"/>
    <cellStyle name="Įprastas 5 6_8 priedas" xfId="982" xr:uid="{00000000-0005-0000-0000-0000EC040000}"/>
    <cellStyle name="Įprastas 5 7" xfId="446" xr:uid="{00000000-0005-0000-0000-0000ED040000}"/>
    <cellStyle name="Įprastas 5 7 2" xfId="447" xr:uid="{00000000-0005-0000-0000-0000EE040000}"/>
    <cellStyle name="Įprastas 5 7 2 2" xfId="448" xr:uid="{00000000-0005-0000-0000-0000EF040000}"/>
    <cellStyle name="Įprastas 5 7 2 2 2" xfId="692" xr:uid="{00000000-0005-0000-0000-0000F0040000}"/>
    <cellStyle name="Įprastas 5 7 2 2_8 priedas" xfId="1223" xr:uid="{00000000-0005-0000-0000-0000F1040000}"/>
    <cellStyle name="Įprastas 5 7 2 3" xfId="449" xr:uid="{00000000-0005-0000-0000-0000F2040000}"/>
    <cellStyle name="Įprastas 5 7 2 3 2" xfId="836" xr:uid="{00000000-0005-0000-0000-0000F3040000}"/>
    <cellStyle name="Įprastas 5 7 2 3_8 priedas" xfId="1089" xr:uid="{00000000-0005-0000-0000-0000F4040000}"/>
    <cellStyle name="Įprastas 5 7 2 4" xfId="548" xr:uid="{00000000-0005-0000-0000-0000F5040000}"/>
    <cellStyle name="Įprastas 5 7 2_8 priedas" xfId="977" xr:uid="{00000000-0005-0000-0000-0000F6040000}"/>
    <cellStyle name="Įprastas 5 7 3" xfId="450" xr:uid="{00000000-0005-0000-0000-0000F7040000}"/>
    <cellStyle name="Įprastas 5 7 3 2" xfId="451" xr:uid="{00000000-0005-0000-0000-0000F8040000}"/>
    <cellStyle name="Įprastas 5 7 3 2 2" xfId="740" xr:uid="{00000000-0005-0000-0000-0000F9040000}"/>
    <cellStyle name="Įprastas 5 7 3 2_8 priedas" xfId="1177" xr:uid="{00000000-0005-0000-0000-0000FA040000}"/>
    <cellStyle name="Įprastas 5 7 3 3" xfId="452" xr:uid="{00000000-0005-0000-0000-0000FB040000}"/>
    <cellStyle name="Įprastas 5 7 3 3 2" xfId="884" xr:uid="{00000000-0005-0000-0000-0000FC040000}"/>
    <cellStyle name="Įprastas 5 7 3 3_8 priedas" xfId="1041" xr:uid="{00000000-0005-0000-0000-0000FD040000}"/>
    <cellStyle name="Įprastas 5 7 3 4" xfId="596" xr:uid="{00000000-0005-0000-0000-0000FE040000}"/>
    <cellStyle name="Įprastas 5 7 3_8 priedas" xfId="1314" xr:uid="{00000000-0005-0000-0000-0000FF040000}"/>
    <cellStyle name="Įprastas 5 7 4" xfId="453" xr:uid="{00000000-0005-0000-0000-000000050000}"/>
    <cellStyle name="Įprastas 5 7 4 2" xfId="644" xr:uid="{00000000-0005-0000-0000-000001050000}"/>
    <cellStyle name="Įprastas 5 7 4_8 priedas" xfId="1265" xr:uid="{00000000-0005-0000-0000-000002050000}"/>
    <cellStyle name="Įprastas 5 7 5" xfId="454" xr:uid="{00000000-0005-0000-0000-000003050000}"/>
    <cellStyle name="Įprastas 5 7 5 2" xfId="788" xr:uid="{00000000-0005-0000-0000-000004050000}"/>
    <cellStyle name="Įprastas 5 7 5_8 priedas" xfId="1129" xr:uid="{00000000-0005-0000-0000-000005050000}"/>
    <cellStyle name="Įprastas 5 7 6" xfId="500" xr:uid="{00000000-0005-0000-0000-000006050000}"/>
    <cellStyle name="Įprastas 5 7_8 priedas" xfId="1113" xr:uid="{00000000-0005-0000-0000-000007050000}"/>
    <cellStyle name="Įprastas 5 8" xfId="455" xr:uid="{00000000-0005-0000-0000-000008050000}"/>
    <cellStyle name="Įprastas 5 8 2" xfId="456" xr:uid="{00000000-0005-0000-0000-000009050000}"/>
    <cellStyle name="Įprastas 5 8 2 2" xfId="668" xr:uid="{00000000-0005-0000-0000-00000A050000}"/>
    <cellStyle name="Įprastas 5 8 2_8 priedas" xfId="952" xr:uid="{00000000-0005-0000-0000-00000B050000}"/>
    <cellStyle name="Įprastas 5 8 3" xfId="457" xr:uid="{00000000-0005-0000-0000-00000C050000}"/>
    <cellStyle name="Įprastas 5 8 3 2" xfId="812" xr:uid="{00000000-0005-0000-0000-00000D050000}"/>
    <cellStyle name="Įprastas 5 8 3_8 priedas" xfId="1211" xr:uid="{00000000-0005-0000-0000-00000E050000}"/>
    <cellStyle name="Įprastas 5 8 4" xfId="524" xr:uid="{00000000-0005-0000-0000-00000F050000}"/>
    <cellStyle name="Įprastas 5 8_8 priedas" xfId="993" xr:uid="{00000000-0005-0000-0000-000010050000}"/>
    <cellStyle name="Įprastas 5 9" xfId="458" xr:uid="{00000000-0005-0000-0000-000011050000}"/>
    <cellStyle name="Įprastas 5 9 2" xfId="459" xr:uid="{00000000-0005-0000-0000-000012050000}"/>
    <cellStyle name="Įprastas 5 9 2 2" xfId="716" xr:uid="{00000000-0005-0000-0000-000013050000}"/>
    <cellStyle name="Įprastas 5 9 2_8 priedas" xfId="1302" xr:uid="{00000000-0005-0000-0000-000014050000}"/>
    <cellStyle name="Įprastas 5 9 3" xfId="460" xr:uid="{00000000-0005-0000-0000-000015050000}"/>
    <cellStyle name="Įprastas 5 9 3 2" xfId="860" xr:uid="{00000000-0005-0000-0000-000016050000}"/>
    <cellStyle name="Įprastas 5 9 3_8 priedas" xfId="1165" xr:uid="{00000000-0005-0000-0000-000017050000}"/>
    <cellStyle name="Įprastas 5 9 4" xfId="572" xr:uid="{00000000-0005-0000-0000-000018050000}"/>
    <cellStyle name="Įprastas 5 9_8 priedas" xfId="1077" xr:uid="{00000000-0005-0000-0000-000019050000}"/>
    <cellStyle name="Įprastas 5_8 -ES projektai" xfId="13" xr:uid="{00000000-0005-0000-0000-00001A050000}"/>
    <cellStyle name="Įprastas_8 priedas" xfId="32" xr:uid="{00000000-0005-0000-0000-00001B050000}"/>
    <cellStyle name="Kablelis 2" xfId="19" xr:uid="{00000000-0005-0000-0000-00001C050000}"/>
    <cellStyle name="Kablelis 2 2" xfId="461" xr:uid="{00000000-0005-0000-0000-00001D050000}"/>
    <cellStyle name="Kablelis 2 2 2" xfId="462" xr:uid="{00000000-0005-0000-0000-00001E050000}"/>
    <cellStyle name="Kablelis 2 2 3" xfId="34" xr:uid="{00000000-0005-0000-0000-00001F050000}"/>
    <cellStyle name="Kablelis 2 3" xfId="463" xr:uid="{00000000-0005-0000-0000-000020050000}"/>
    <cellStyle name="Kablelis 2 3 2" xfId="464" xr:uid="{00000000-0005-0000-0000-000021050000}"/>
    <cellStyle name="Kablelis 2 3 3" xfId="465" xr:uid="{00000000-0005-0000-0000-000022050000}"/>
    <cellStyle name="Kablelis 2 4" xfId="466" xr:uid="{00000000-0005-0000-0000-000023050000}"/>
    <cellStyle name="Kablelis 2 5" xfId="33" xr:uid="{00000000-0005-0000-0000-000024050000}"/>
    <cellStyle name="Kablelis 3" xfId="20" xr:uid="{00000000-0005-0000-0000-000025050000}"/>
    <cellStyle name="Kablelis 3 2" xfId="467" xr:uid="{00000000-0005-0000-0000-000026050000}"/>
    <cellStyle name="Kablelis 3 2 2" xfId="468" xr:uid="{00000000-0005-0000-0000-000027050000}"/>
    <cellStyle name="Kablelis 3 2 3" xfId="469" xr:uid="{00000000-0005-0000-0000-000028050000}"/>
    <cellStyle name="Kablelis 3 3" xfId="470" xr:uid="{00000000-0005-0000-0000-000029050000}"/>
    <cellStyle name="Kablelis 3 3 2" xfId="471" xr:uid="{00000000-0005-0000-0000-00002A050000}"/>
    <cellStyle name="Kablelis 3 3 3" xfId="472" xr:uid="{00000000-0005-0000-0000-00002B050000}"/>
    <cellStyle name="Kablelis 3 4" xfId="473" xr:uid="{00000000-0005-0000-0000-00002C050000}"/>
    <cellStyle name="Kablelis 3 5" xfId="474" xr:uid="{00000000-0005-0000-0000-00002D050000}"/>
    <cellStyle name="Kablelis 4" xfId="475" xr:uid="{00000000-0005-0000-0000-00002E050000}"/>
    <cellStyle name="Normal_Sheet1" xfId="9" xr:uid="{00000000-0005-0000-0000-00002F050000}"/>
  </cellStyles>
  <dxfs count="0"/>
  <tableStyles count="0" defaultTableStyle="TableStyleMedium9" defaultPivotStyle="PivotStyleLight16"/>
  <colors>
    <mruColors>
      <color rgb="FFCCECFF"/>
      <color rgb="FFCCFFFF"/>
      <color rgb="FFCCCCFF"/>
      <color rgb="FFFF99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73"/>
  <sheetViews>
    <sheetView workbookViewId="0">
      <selection activeCell="C48" sqref="C48"/>
    </sheetView>
  </sheetViews>
  <sheetFormatPr defaultRowHeight="12.75" x14ac:dyDescent="0.2"/>
  <cols>
    <col min="1" max="1" width="4.7109375" customWidth="1"/>
    <col min="2" max="2" width="14.5703125" customWidth="1"/>
    <col min="3" max="3" width="62.140625" customWidth="1"/>
    <col min="4" max="4" width="16" customWidth="1"/>
    <col min="5" max="5" width="11.85546875" customWidth="1"/>
    <col min="6" max="6" width="17.42578125" customWidth="1"/>
    <col min="8" max="8" width="10.5703125" bestFit="1" customWidth="1"/>
    <col min="10" max="10" width="11.5703125" bestFit="1" customWidth="1"/>
  </cols>
  <sheetData>
    <row r="1" spans="1:4" ht="15.75" x14ac:dyDescent="0.25">
      <c r="A1" s="2" t="s">
        <v>474</v>
      </c>
      <c r="C1" s="205"/>
      <c r="D1" s="205"/>
    </row>
    <row r="2" spans="1:4" ht="15.75" x14ac:dyDescent="0.25">
      <c r="C2" s="206" t="s">
        <v>656</v>
      </c>
      <c r="D2" s="205"/>
    </row>
    <row r="3" spans="1:4" ht="16.5" customHeight="1" x14ac:dyDescent="0.25">
      <c r="A3" s="1" t="s">
        <v>657</v>
      </c>
      <c r="C3" s="205"/>
      <c r="D3" s="205"/>
    </row>
    <row r="4" spans="1:4" ht="16.5" customHeight="1" x14ac:dyDescent="0.25">
      <c r="A4" s="1"/>
      <c r="C4" s="821" t="s">
        <v>667</v>
      </c>
      <c r="D4" s="822"/>
    </row>
    <row r="5" spans="1:4" ht="16.5" customHeight="1" x14ac:dyDescent="0.25">
      <c r="A5" s="1"/>
      <c r="C5" s="206" t="s">
        <v>666</v>
      </c>
      <c r="D5" s="206"/>
    </row>
    <row r="6" spans="1:4" ht="16.5" customHeight="1" x14ac:dyDescent="0.25">
      <c r="A6" s="1"/>
      <c r="C6" s="208" t="s">
        <v>563</v>
      </c>
      <c r="D6" s="205"/>
    </row>
    <row r="7" spans="1:4" ht="15.75" x14ac:dyDescent="0.25">
      <c r="A7" s="820" t="s">
        <v>496</v>
      </c>
      <c r="B7" s="820"/>
      <c r="C7" s="820"/>
      <c r="D7" s="820"/>
    </row>
    <row r="8" spans="1:4" ht="15.75" x14ac:dyDescent="0.25">
      <c r="A8" s="3"/>
      <c r="B8" s="1"/>
      <c r="C8" s="1"/>
      <c r="D8" s="1"/>
    </row>
    <row r="9" spans="1:4" ht="15.75" x14ac:dyDescent="0.25">
      <c r="A9" s="3"/>
      <c r="B9" s="1"/>
      <c r="C9" s="1"/>
      <c r="D9" s="1"/>
    </row>
    <row r="10" spans="1:4" ht="16.5" thickBot="1" x14ac:dyDescent="0.3">
      <c r="A10" s="1"/>
      <c r="B10" s="1"/>
      <c r="C10" s="1"/>
      <c r="D10" s="1" t="s">
        <v>607</v>
      </c>
    </row>
    <row r="11" spans="1:4" ht="48" thickBot="1" x14ac:dyDescent="0.25">
      <c r="A11" s="184" t="s">
        <v>303</v>
      </c>
      <c r="B11" s="217" t="s">
        <v>304</v>
      </c>
      <c r="C11" s="178" t="s">
        <v>305</v>
      </c>
      <c r="D11" s="185" t="s">
        <v>589</v>
      </c>
    </row>
    <row r="12" spans="1:4" ht="16.5" thickBot="1" x14ac:dyDescent="0.25">
      <c r="A12" s="187">
        <v>1</v>
      </c>
      <c r="B12" s="218">
        <v>2</v>
      </c>
      <c r="C12" s="219">
        <v>3</v>
      </c>
      <c r="D12" s="187">
        <v>4</v>
      </c>
    </row>
    <row r="13" spans="1:4" ht="16.5" thickBot="1" x14ac:dyDescent="0.25">
      <c r="A13" s="180">
        <v>1</v>
      </c>
      <c r="B13" s="315" t="s">
        <v>306</v>
      </c>
      <c r="C13" s="316" t="s">
        <v>524</v>
      </c>
      <c r="D13" s="317">
        <f>D14+D17+D21</f>
        <v>28014</v>
      </c>
    </row>
    <row r="14" spans="1:4" ht="16.5" thickBot="1" x14ac:dyDescent="0.25">
      <c r="A14" s="180">
        <v>2</v>
      </c>
      <c r="B14" s="204" t="s">
        <v>307</v>
      </c>
      <c r="C14" s="183" t="s">
        <v>523</v>
      </c>
      <c r="D14" s="179">
        <f>D15+D16</f>
        <v>26480</v>
      </c>
    </row>
    <row r="15" spans="1:4" ht="16.5" thickBot="1" x14ac:dyDescent="0.25">
      <c r="A15" s="180">
        <v>3</v>
      </c>
      <c r="B15" s="181" t="s">
        <v>308</v>
      </c>
      <c r="C15" s="182" t="s">
        <v>309</v>
      </c>
      <c r="D15" s="179">
        <v>26462</v>
      </c>
    </row>
    <row r="16" spans="1:4" ht="16.5" thickBot="1" x14ac:dyDescent="0.25">
      <c r="A16" s="180">
        <v>4</v>
      </c>
      <c r="B16" s="181" t="s">
        <v>308</v>
      </c>
      <c r="C16" s="182" t="s">
        <v>487</v>
      </c>
      <c r="D16" s="179">
        <v>18</v>
      </c>
    </row>
    <row r="17" spans="1:6" ht="16.5" thickBot="1" x14ac:dyDescent="0.25">
      <c r="A17" s="180">
        <v>5</v>
      </c>
      <c r="B17" s="181" t="s">
        <v>310</v>
      </c>
      <c r="C17" s="183" t="s">
        <v>525</v>
      </c>
      <c r="D17" s="179">
        <f>D18+D19+D20</f>
        <v>1444</v>
      </c>
    </row>
    <row r="18" spans="1:6" ht="16.5" thickBot="1" x14ac:dyDescent="0.25">
      <c r="A18" s="180">
        <v>6</v>
      </c>
      <c r="B18" s="181" t="s">
        <v>311</v>
      </c>
      <c r="C18" s="182" t="s">
        <v>312</v>
      </c>
      <c r="D18" s="179">
        <v>1100</v>
      </c>
    </row>
    <row r="19" spans="1:6" ht="16.5" thickBot="1" x14ac:dyDescent="0.25">
      <c r="A19" s="180">
        <v>7</v>
      </c>
      <c r="B19" s="181" t="s">
        <v>313</v>
      </c>
      <c r="C19" s="182" t="s">
        <v>535</v>
      </c>
      <c r="D19" s="179">
        <v>24</v>
      </c>
    </row>
    <row r="20" spans="1:6" ht="16.5" thickBot="1" x14ac:dyDescent="0.25">
      <c r="A20" s="180">
        <v>8</v>
      </c>
      <c r="B20" s="181" t="s">
        <v>314</v>
      </c>
      <c r="C20" s="182" t="s">
        <v>315</v>
      </c>
      <c r="D20" s="179">
        <v>320</v>
      </c>
    </row>
    <row r="21" spans="1:6" ht="16.5" thickBot="1" x14ac:dyDescent="0.25">
      <c r="A21" s="180">
        <v>9</v>
      </c>
      <c r="B21" s="181" t="s">
        <v>316</v>
      </c>
      <c r="C21" s="183" t="s">
        <v>526</v>
      </c>
      <c r="D21" s="179">
        <f>D22</f>
        <v>90</v>
      </c>
    </row>
    <row r="22" spans="1:6" ht="16.5" thickBot="1" x14ac:dyDescent="0.25">
      <c r="A22" s="180">
        <v>10</v>
      </c>
      <c r="B22" s="181" t="s">
        <v>317</v>
      </c>
      <c r="C22" s="182" t="s">
        <v>318</v>
      </c>
      <c r="D22" s="179">
        <v>90</v>
      </c>
    </row>
    <row r="23" spans="1:6" ht="16.5" thickBot="1" x14ac:dyDescent="0.25">
      <c r="A23" s="180">
        <v>11</v>
      </c>
      <c r="B23" s="315" t="s">
        <v>319</v>
      </c>
      <c r="C23" s="316" t="s">
        <v>647</v>
      </c>
      <c r="D23" s="318">
        <f>D25+D31+D50+D24</f>
        <v>22075.652320000001</v>
      </c>
      <c r="F23" s="193"/>
    </row>
    <row r="24" spans="1:6" ht="16.5" thickBot="1" x14ac:dyDescent="0.25">
      <c r="A24" s="180">
        <v>12</v>
      </c>
      <c r="B24" s="189" t="s">
        <v>466</v>
      </c>
      <c r="C24" s="183" t="s">
        <v>467</v>
      </c>
      <c r="D24" s="211">
        <v>424.05900000000003</v>
      </c>
    </row>
    <row r="25" spans="1:6" ht="16.5" thickBot="1" x14ac:dyDescent="0.25">
      <c r="A25" s="180">
        <v>13</v>
      </c>
      <c r="B25" s="189" t="s">
        <v>320</v>
      </c>
      <c r="C25" s="183" t="s">
        <v>585</v>
      </c>
      <c r="D25" s="319">
        <f>D26+D27+D28+D29+D30</f>
        <v>14086.450999999999</v>
      </c>
    </row>
    <row r="26" spans="1:6" ht="32.25" thickBot="1" x14ac:dyDescent="0.25">
      <c r="A26" s="180">
        <v>14</v>
      </c>
      <c r="B26" s="181" t="s">
        <v>321</v>
      </c>
      <c r="C26" s="182" t="s">
        <v>322</v>
      </c>
      <c r="D26" s="212">
        <v>4307.9639999999999</v>
      </c>
    </row>
    <row r="27" spans="1:6" ht="16.5" thickBot="1" x14ac:dyDescent="0.3">
      <c r="A27" s="180">
        <v>15</v>
      </c>
      <c r="B27" s="181" t="s">
        <v>323</v>
      </c>
      <c r="C27" s="184" t="s">
        <v>324</v>
      </c>
      <c r="D27" s="213">
        <v>9619.5</v>
      </c>
    </row>
    <row r="28" spans="1:6" ht="32.25" thickBot="1" x14ac:dyDescent="0.3">
      <c r="A28" s="180">
        <v>16</v>
      </c>
      <c r="B28" s="182" t="s">
        <v>325</v>
      </c>
      <c r="C28" s="186" t="s">
        <v>326</v>
      </c>
      <c r="D28" s="185">
        <v>134.9</v>
      </c>
    </row>
    <row r="29" spans="1:6" ht="32.25" thickBot="1" x14ac:dyDescent="0.3">
      <c r="A29" s="180">
        <v>17</v>
      </c>
      <c r="B29" s="182" t="s">
        <v>327</v>
      </c>
      <c r="C29" s="186" t="s">
        <v>536</v>
      </c>
      <c r="D29" s="185">
        <v>0.8</v>
      </c>
    </row>
    <row r="30" spans="1:6" ht="32.25" thickBot="1" x14ac:dyDescent="0.3">
      <c r="A30" s="180">
        <f>A29+1</f>
        <v>18</v>
      </c>
      <c r="B30" s="182" t="s">
        <v>575</v>
      </c>
      <c r="C30" s="186" t="s">
        <v>382</v>
      </c>
      <c r="D30" s="185">
        <v>23.286999999999999</v>
      </c>
    </row>
    <row r="31" spans="1:6" ht="16.5" thickBot="1" x14ac:dyDescent="0.3">
      <c r="A31" s="180">
        <v>19</v>
      </c>
      <c r="B31" s="320" t="s">
        <v>328</v>
      </c>
      <c r="C31" s="321" t="s">
        <v>648</v>
      </c>
      <c r="D31" s="322">
        <f>SUM(D32:D49)</f>
        <v>4697.6783200000009</v>
      </c>
    </row>
    <row r="32" spans="1:6" ht="32.25" thickBot="1" x14ac:dyDescent="0.3">
      <c r="A32" s="180">
        <v>20</v>
      </c>
      <c r="B32" s="182" t="s">
        <v>329</v>
      </c>
      <c r="C32" s="186" t="s">
        <v>330</v>
      </c>
      <c r="D32" s="187">
        <v>182.2</v>
      </c>
    </row>
    <row r="33" spans="1:4" ht="16.5" thickBot="1" x14ac:dyDescent="0.3">
      <c r="A33" s="180">
        <v>21</v>
      </c>
      <c r="B33" s="215" t="s">
        <v>463</v>
      </c>
      <c r="C33" s="188" t="s">
        <v>537</v>
      </c>
      <c r="D33" s="187">
        <v>131</v>
      </c>
    </row>
    <row r="34" spans="1:4" ht="32.25" thickBot="1" x14ac:dyDescent="0.3">
      <c r="A34" s="180">
        <v>22</v>
      </c>
      <c r="B34" s="182" t="s">
        <v>576</v>
      </c>
      <c r="C34" s="186" t="s">
        <v>331</v>
      </c>
      <c r="D34" s="187">
        <v>28.28</v>
      </c>
    </row>
    <row r="35" spans="1:4" ht="32.25" thickBot="1" x14ac:dyDescent="0.3">
      <c r="A35" s="180">
        <v>23</v>
      </c>
      <c r="B35" s="182" t="s">
        <v>577</v>
      </c>
      <c r="C35" s="186" t="s">
        <v>494</v>
      </c>
      <c r="D35" s="187">
        <v>110.282</v>
      </c>
    </row>
    <row r="36" spans="1:4" ht="16.5" thickBot="1" x14ac:dyDescent="0.3">
      <c r="A36" s="180">
        <v>24</v>
      </c>
      <c r="B36" s="182" t="s">
        <v>578</v>
      </c>
      <c r="C36" s="186" t="s">
        <v>470</v>
      </c>
      <c r="D36" s="187">
        <v>111.495</v>
      </c>
    </row>
    <row r="37" spans="1:4" ht="16.5" thickBot="1" x14ac:dyDescent="0.3">
      <c r="A37" s="180">
        <v>25</v>
      </c>
      <c r="B37" s="182" t="s">
        <v>464</v>
      </c>
      <c r="C37" s="186" t="s">
        <v>490</v>
      </c>
      <c r="D37" s="187">
        <v>24.678999999999998</v>
      </c>
    </row>
    <row r="38" spans="1:4" ht="32.25" thickBot="1" x14ac:dyDescent="0.3">
      <c r="A38" s="180">
        <v>26</v>
      </c>
      <c r="B38" s="184" t="s">
        <v>564</v>
      </c>
      <c r="C38" s="214" t="s">
        <v>565</v>
      </c>
      <c r="D38" s="187">
        <v>56.75</v>
      </c>
    </row>
    <row r="39" spans="1:4" ht="32.25" thickBot="1" x14ac:dyDescent="0.3">
      <c r="A39" s="180">
        <v>27</v>
      </c>
      <c r="B39" s="182" t="s">
        <v>566</v>
      </c>
      <c r="C39" s="186" t="s">
        <v>567</v>
      </c>
      <c r="D39" s="187">
        <v>46.390999999999998</v>
      </c>
    </row>
    <row r="40" spans="1:4" ht="16.5" thickBot="1" x14ac:dyDescent="0.3">
      <c r="A40" s="180">
        <v>28</v>
      </c>
      <c r="B40" s="182" t="s">
        <v>568</v>
      </c>
      <c r="C40" s="210" t="s">
        <v>569</v>
      </c>
      <c r="D40" s="187">
        <v>18.992999999999999</v>
      </c>
    </row>
    <row r="41" spans="1:4" ht="32.25" thickBot="1" x14ac:dyDescent="0.3">
      <c r="A41" s="180">
        <v>29</v>
      </c>
      <c r="B41" s="182" t="s">
        <v>570</v>
      </c>
      <c r="C41" s="220" t="s">
        <v>571</v>
      </c>
      <c r="D41" s="221">
        <v>41.332529999999998</v>
      </c>
    </row>
    <row r="42" spans="1:4" ht="48" thickBot="1" x14ac:dyDescent="0.3">
      <c r="A42" s="180">
        <v>30</v>
      </c>
      <c r="B42" s="182" t="s">
        <v>579</v>
      </c>
      <c r="C42" s="210" t="s">
        <v>680</v>
      </c>
      <c r="D42" s="213">
        <v>24.975999999999999</v>
      </c>
    </row>
    <row r="43" spans="1:4" ht="16.5" thickBot="1" x14ac:dyDescent="0.3">
      <c r="A43" s="180">
        <v>31</v>
      </c>
      <c r="B43" s="182" t="s">
        <v>590</v>
      </c>
      <c r="C43" s="210" t="s">
        <v>591</v>
      </c>
      <c r="D43" s="222">
        <v>28.693200000000001</v>
      </c>
    </row>
    <row r="44" spans="1:4" ht="16.5" thickBot="1" x14ac:dyDescent="0.3">
      <c r="A44" s="180">
        <f>A43+1</f>
        <v>32</v>
      </c>
      <c r="B44" s="182" t="s">
        <v>592</v>
      </c>
      <c r="C44" s="210" t="s">
        <v>572</v>
      </c>
      <c r="D44" s="221">
        <v>657.9</v>
      </c>
    </row>
    <row r="45" spans="1:4" ht="32.25" thickBot="1" x14ac:dyDescent="0.3">
      <c r="A45" s="180">
        <v>33</v>
      </c>
      <c r="B45" s="182" t="s">
        <v>612</v>
      </c>
      <c r="C45" s="210" t="s">
        <v>613</v>
      </c>
      <c r="D45" s="216">
        <v>3145.4</v>
      </c>
    </row>
    <row r="46" spans="1:4" ht="63.75" thickBot="1" x14ac:dyDescent="0.3">
      <c r="A46" s="180">
        <v>34</v>
      </c>
      <c r="B46" s="182" t="s">
        <v>614</v>
      </c>
      <c r="C46" s="210" t="s">
        <v>615</v>
      </c>
      <c r="D46" s="216">
        <v>6.3719999999999999</v>
      </c>
    </row>
    <row r="47" spans="1:4" ht="32.25" thickBot="1" x14ac:dyDescent="0.3">
      <c r="A47" s="180">
        <v>35</v>
      </c>
      <c r="B47" s="182" t="s">
        <v>617</v>
      </c>
      <c r="C47" s="210" t="s">
        <v>616</v>
      </c>
      <c r="D47" s="216">
        <v>14.891719999999999</v>
      </c>
    </row>
    <row r="48" spans="1:4" ht="48" thickBot="1" x14ac:dyDescent="0.3">
      <c r="A48" s="180">
        <v>36</v>
      </c>
      <c r="B48" s="182" t="s">
        <v>618</v>
      </c>
      <c r="C48" s="210" t="s">
        <v>678</v>
      </c>
      <c r="D48" s="216">
        <v>59.293869999999998</v>
      </c>
    </row>
    <row r="49" spans="1:4" ht="67.5" customHeight="1" thickBot="1" x14ac:dyDescent="0.3">
      <c r="A49" s="180">
        <v>37</v>
      </c>
      <c r="B49" s="182" t="s">
        <v>641</v>
      </c>
      <c r="C49" s="210" t="s">
        <v>640</v>
      </c>
      <c r="D49" s="216">
        <v>8.7490000000000006</v>
      </c>
    </row>
    <row r="50" spans="1:4" ht="16.5" thickBot="1" x14ac:dyDescent="0.3">
      <c r="A50" s="323">
        <v>38</v>
      </c>
      <c r="B50" s="320" t="s">
        <v>332</v>
      </c>
      <c r="C50" s="321" t="s">
        <v>646</v>
      </c>
      <c r="D50" s="211">
        <f>D51+D52+D53+D54</f>
        <v>2867.4639999999999</v>
      </c>
    </row>
    <row r="51" spans="1:4" ht="16.5" thickBot="1" x14ac:dyDescent="0.3">
      <c r="A51" s="180">
        <v>39</v>
      </c>
      <c r="B51" s="181" t="s">
        <v>333</v>
      </c>
      <c r="C51" s="324" t="s">
        <v>538</v>
      </c>
      <c r="D51" s="187">
        <v>998</v>
      </c>
    </row>
    <row r="52" spans="1:4" ht="16.5" customHeight="1" thickBot="1" x14ac:dyDescent="0.3">
      <c r="A52" s="180">
        <f>A51+1</f>
        <v>40</v>
      </c>
      <c r="B52" s="181" t="s">
        <v>334</v>
      </c>
      <c r="C52" s="188" t="s">
        <v>593</v>
      </c>
      <c r="D52" s="187"/>
    </row>
    <row r="53" spans="1:4" ht="32.25" thickBot="1" x14ac:dyDescent="0.3">
      <c r="A53" s="180">
        <v>41</v>
      </c>
      <c r="B53" s="181" t="s">
        <v>580</v>
      </c>
      <c r="C53" s="186" t="s">
        <v>554</v>
      </c>
      <c r="D53" s="187">
        <v>33.564</v>
      </c>
    </row>
    <row r="54" spans="1:4" ht="16.5" thickBot="1" x14ac:dyDescent="0.3">
      <c r="A54" s="180">
        <v>42</v>
      </c>
      <c r="B54" s="181" t="s">
        <v>594</v>
      </c>
      <c r="C54" s="210" t="s">
        <v>572</v>
      </c>
      <c r="D54" s="187">
        <v>1835.9</v>
      </c>
    </row>
    <row r="55" spans="1:4" ht="16.5" thickBot="1" x14ac:dyDescent="0.25">
      <c r="A55" s="180">
        <v>43</v>
      </c>
      <c r="B55" s="315" t="s">
        <v>335</v>
      </c>
      <c r="C55" s="316" t="s">
        <v>644</v>
      </c>
      <c r="D55" s="325">
        <f>D56+D60+D61+D64+D65</f>
        <v>3254.5229999999997</v>
      </c>
    </row>
    <row r="56" spans="1:4" ht="16.5" thickBot="1" x14ac:dyDescent="0.25">
      <c r="A56" s="180">
        <v>44</v>
      </c>
      <c r="B56" s="189" t="s">
        <v>336</v>
      </c>
      <c r="C56" s="183" t="s">
        <v>642</v>
      </c>
      <c r="D56" s="190">
        <f>D57+D58+D59</f>
        <v>600.45000000000005</v>
      </c>
    </row>
    <row r="57" spans="1:4" ht="32.25" thickBot="1" x14ac:dyDescent="0.25">
      <c r="A57" s="180">
        <v>45</v>
      </c>
      <c r="B57" s="181" t="s">
        <v>337</v>
      </c>
      <c r="C57" s="182" t="s">
        <v>338</v>
      </c>
      <c r="D57" s="179">
        <v>400</v>
      </c>
    </row>
    <row r="58" spans="1:4" ht="16.5" thickBot="1" x14ac:dyDescent="0.25">
      <c r="A58" s="180">
        <v>46</v>
      </c>
      <c r="B58" s="181" t="s">
        <v>595</v>
      </c>
      <c r="C58" s="182" t="s">
        <v>339</v>
      </c>
      <c r="D58" s="191">
        <v>44.45</v>
      </c>
    </row>
    <row r="59" spans="1:4" ht="16.5" thickBot="1" x14ac:dyDescent="0.25">
      <c r="A59" s="180">
        <v>47</v>
      </c>
      <c r="B59" s="181" t="s">
        <v>340</v>
      </c>
      <c r="C59" s="182" t="s">
        <v>596</v>
      </c>
      <c r="D59" s="179">
        <v>156</v>
      </c>
    </row>
    <row r="60" spans="1:4" ht="16.5" thickBot="1" x14ac:dyDescent="0.25">
      <c r="A60" s="180">
        <v>48</v>
      </c>
      <c r="B60" s="181" t="s">
        <v>597</v>
      </c>
      <c r="C60" s="182" t="s">
        <v>341</v>
      </c>
      <c r="D60" s="187">
        <v>1528.973</v>
      </c>
    </row>
    <row r="61" spans="1:4" ht="16.5" thickBot="1" x14ac:dyDescent="0.25">
      <c r="A61" s="180">
        <v>49</v>
      </c>
      <c r="B61" s="189" t="s">
        <v>598</v>
      </c>
      <c r="C61" s="183" t="s">
        <v>643</v>
      </c>
      <c r="D61" s="190">
        <f>D62+D63</f>
        <v>1040</v>
      </c>
    </row>
    <row r="62" spans="1:4" ht="16.5" thickBot="1" x14ac:dyDescent="0.25">
      <c r="A62" s="180">
        <v>50</v>
      </c>
      <c r="B62" s="181" t="s">
        <v>599</v>
      </c>
      <c r="C62" s="182" t="s">
        <v>342</v>
      </c>
      <c r="D62" s="179">
        <v>40</v>
      </c>
    </row>
    <row r="63" spans="1:4" ht="16.5" thickBot="1" x14ac:dyDescent="0.25">
      <c r="A63" s="180">
        <v>51</v>
      </c>
      <c r="B63" s="181" t="s">
        <v>600</v>
      </c>
      <c r="C63" s="182" t="s">
        <v>343</v>
      </c>
      <c r="D63" s="191">
        <v>1000</v>
      </c>
    </row>
    <row r="64" spans="1:4" ht="16.5" thickBot="1" x14ac:dyDescent="0.25">
      <c r="A64" s="180">
        <v>52</v>
      </c>
      <c r="B64" s="181" t="s">
        <v>344</v>
      </c>
      <c r="C64" s="182" t="s">
        <v>345</v>
      </c>
      <c r="D64" s="179">
        <v>21.7</v>
      </c>
    </row>
    <row r="65" spans="1:10" ht="16.5" thickBot="1" x14ac:dyDescent="0.25">
      <c r="A65" s="180">
        <v>53</v>
      </c>
      <c r="B65" s="181" t="s">
        <v>601</v>
      </c>
      <c r="C65" s="182" t="s">
        <v>346</v>
      </c>
      <c r="D65" s="179">
        <v>63.4</v>
      </c>
      <c r="F65" s="193"/>
      <c r="G65" s="7"/>
    </row>
    <row r="66" spans="1:10" ht="32.25" thickBot="1" x14ac:dyDescent="0.3">
      <c r="A66" s="184">
        <v>54</v>
      </c>
      <c r="B66" s="326" t="s">
        <v>347</v>
      </c>
      <c r="C66" s="327" t="s">
        <v>348</v>
      </c>
      <c r="D66" s="328">
        <v>65</v>
      </c>
    </row>
    <row r="67" spans="1:10" ht="32.25" thickBot="1" x14ac:dyDescent="0.25">
      <c r="A67" s="180">
        <v>56</v>
      </c>
      <c r="B67" s="315"/>
      <c r="C67" s="316" t="s">
        <v>645</v>
      </c>
      <c r="D67" s="318">
        <f>D13+D23+D55+D66</f>
        <v>53409.175320000002</v>
      </c>
    </row>
    <row r="68" spans="1:10" ht="16.5" thickBot="1" x14ac:dyDescent="0.25">
      <c r="A68" s="823">
        <v>57</v>
      </c>
      <c r="B68" s="825"/>
      <c r="C68" s="198" t="s">
        <v>349</v>
      </c>
      <c r="D68" s="192">
        <f>D69+D70+D71</f>
        <v>2413.97696</v>
      </c>
      <c r="J68" s="202"/>
    </row>
    <row r="69" spans="1:10" ht="15.75" x14ac:dyDescent="0.25">
      <c r="A69" s="824"/>
      <c r="B69" s="826"/>
      <c r="C69" s="329" t="s">
        <v>350</v>
      </c>
      <c r="D69" s="199">
        <v>234.10410999999999</v>
      </c>
      <c r="F69" s="193"/>
    </row>
    <row r="70" spans="1:10" ht="15.75" x14ac:dyDescent="0.25">
      <c r="A70" s="824"/>
      <c r="B70" s="826"/>
      <c r="C70" s="329" t="s">
        <v>351</v>
      </c>
      <c r="D70" s="330">
        <v>495.64854000000003</v>
      </c>
      <c r="F70" s="193"/>
    </row>
    <row r="71" spans="1:10" ht="16.5" thickBot="1" x14ac:dyDescent="0.3">
      <c r="A71" s="824"/>
      <c r="B71" s="826"/>
      <c r="C71" s="200" t="s">
        <v>352</v>
      </c>
      <c r="D71" s="201">
        <v>1684.2243100000001</v>
      </c>
    </row>
    <row r="72" spans="1:10" ht="16.5" thickBot="1" x14ac:dyDescent="0.3">
      <c r="A72" s="188">
        <v>58</v>
      </c>
      <c r="B72" s="188"/>
      <c r="C72" s="184" t="s">
        <v>468</v>
      </c>
      <c r="D72" s="213">
        <v>1067.7</v>
      </c>
    </row>
    <row r="73" spans="1:10" ht="16.5" thickBot="1" x14ac:dyDescent="0.3">
      <c r="A73" s="331">
        <v>59</v>
      </c>
      <c r="B73" s="332"/>
      <c r="C73" s="333" t="s">
        <v>462</v>
      </c>
      <c r="D73" s="334">
        <f>D67+D68+D72</f>
        <v>56890.852279999999</v>
      </c>
    </row>
  </sheetData>
  <mergeCells count="4">
    <mergeCell ref="A7:D7"/>
    <mergeCell ref="C4:D4"/>
    <mergeCell ref="A68:A71"/>
    <mergeCell ref="B68:B71"/>
  </mergeCells>
  <phoneticPr fontId="9" type="noConversion"/>
  <pageMargins left="0.74803149606299213" right="0.74803149606299213" top="0.98425196850393704" bottom="0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77"/>
  <sheetViews>
    <sheetView zoomScaleNormal="100" workbookViewId="0">
      <selection activeCell="E72" sqref="E72"/>
    </sheetView>
  </sheetViews>
  <sheetFormatPr defaultRowHeight="12.75" x14ac:dyDescent="0.2"/>
  <cols>
    <col min="1" max="1" width="4.5703125" customWidth="1"/>
    <col min="2" max="2" width="72" customWidth="1"/>
    <col min="3" max="3" width="21" customWidth="1"/>
    <col min="5" max="5" width="10.5703125" bestFit="1" customWidth="1"/>
  </cols>
  <sheetData>
    <row r="1" spans="1:3" ht="17.25" customHeight="1" x14ac:dyDescent="0.25">
      <c r="A1" s="170"/>
      <c r="B1" s="235" t="s">
        <v>658</v>
      </c>
      <c r="C1" s="236"/>
    </row>
    <row r="2" spans="1:3" ht="16.5" customHeight="1" x14ac:dyDescent="0.25">
      <c r="A2" s="170"/>
      <c r="B2" s="235" t="s">
        <v>558</v>
      </c>
      <c r="C2" s="236"/>
    </row>
    <row r="3" spans="1:3" ht="16.5" customHeight="1" x14ac:dyDescent="0.25">
      <c r="A3" s="170"/>
      <c r="B3" s="235" t="s">
        <v>475</v>
      </c>
      <c r="C3" s="236"/>
    </row>
    <row r="4" spans="1:3" ht="16.5" customHeight="1" x14ac:dyDescent="0.25">
      <c r="A4" s="170"/>
      <c r="B4" s="827" t="s">
        <v>659</v>
      </c>
      <c r="C4" s="828"/>
    </row>
    <row r="5" spans="1:3" ht="16.5" customHeight="1" x14ac:dyDescent="0.25">
      <c r="A5" s="170"/>
      <c r="B5" s="829" t="s">
        <v>668</v>
      </c>
      <c r="C5" s="828"/>
    </row>
    <row r="6" spans="1:3" ht="16.5" customHeight="1" x14ac:dyDescent="0.25">
      <c r="A6" s="170"/>
      <c r="B6" s="236" t="s">
        <v>660</v>
      </c>
      <c r="C6" s="304"/>
    </row>
    <row r="7" spans="1:3" ht="43.5" customHeight="1" x14ac:dyDescent="0.25">
      <c r="A7" s="170"/>
      <c r="B7" s="173" t="s">
        <v>495</v>
      </c>
      <c r="C7" s="7"/>
    </row>
    <row r="8" spans="1:3" ht="24" customHeight="1" thickBot="1" x14ac:dyDescent="0.3">
      <c r="A8" s="1"/>
      <c r="B8" s="1" t="s">
        <v>587</v>
      </c>
      <c r="C8" s="1" t="s">
        <v>607</v>
      </c>
    </row>
    <row r="9" spans="1:3" ht="32.25" thickBot="1" x14ac:dyDescent="0.25">
      <c r="A9" s="194" t="s">
        <v>353</v>
      </c>
      <c r="B9" s="195" t="s">
        <v>354</v>
      </c>
      <c r="C9" s="196" t="s">
        <v>602</v>
      </c>
    </row>
    <row r="10" spans="1:3" ht="16.5" thickBot="1" x14ac:dyDescent="0.25">
      <c r="A10" s="209">
        <v>1</v>
      </c>
      <c r="B10" s="335" t="s">
        <v>634</v>
      </c>
      <c r="C10" s="336">
        <f>C11+C12+C13</f>
        <v>32.9</v>
      </c>
    </row>
    <row r="11" spans="1:3" ht="16.5" thickBot="1" x14ac:dyDescent="0.25">
      <c r="A11" s="209">
        <v>2</v>
      </c>
      <c r="B11" s="337" t="s">
        <v>355</v>
      </c>
      <c r="C11" s="338">
        <v>26.8</v>
      </c>
    </row>
    <row r="12" spans="1:3" ht="16.5" thickBot="1" x14ac:dyDescent="0.25">
      <c r="A12" s="209">
        <v>3</v>
      </c>
      <c r="B12" s="337" t="s">
        <v>356</v>
      </c>
      <c r="C12" s="338">
        <v>5.6</v>
      </c>
    </row>
    <row r="13" spans="1:3" ht="16.5" thickBot="1" x14ac:dyDescent="0.25">
      <c r="A13" s="209">
        <v>4</v>
      </c>
      <c r="B13" s="337" t="s">
        <v>357</v>
      </c>
      <c r="C13" s="338">
        <v>0.5</v>
      </c>
    </row>
    <row r="14" spans="1:3" ht="16.5" thickBot="1" x14ac:dyDescent="0.25">
      <c r="A14" s="209">
        <v>5</v>
      </c>
      <c r="B14" s="335" t="s">
        <v>635</v>
      </c>
      <c r="C14" s="339">
        <f>C15+C16+C17</f>
        <v>1262.8999999999999</v>
      </c>
    </row>
    <row r="15" spans="1:3" ht="16.5" thickBot="1" x14ac:dyDescent="0.25">
      <c r="A15" s="209">
        <v>6</v>
      </c>
      <c r="B15" s="337" t="s">
        <v>1</v>
      </c>
      <c r="C15" s="338">
        <v>1234.5999999999999</v>
      </c>
    </row>
    <row r="16" spans="1:3" ht="16.5" thickBot="1" x14ac:dyDescent="0.25">
      <c r="A16" s="209">
        <v>7</v>
      </c>
      <c r="B16" s="337" t="s">
        <v>358</v>
      </c>
      <c r="C16" s="338">
        <v>25.3</v>
      </c>
    </row>
    <row r="17" spans="1:3" ht="16.5" thickBot="1" x14ac:dyDescent="0.25">
      <c r="A17" s="209">
        <v>8</v>
      </c>
      <c r="B17" s="337" t="s">
        <v>359</v>
      </c>
      <c r="C17" s="338">
        <v>3</v>
      </c>
    </row>
    <row r="18" spans="1:3" ht="16.5" thickBot="1" x14ac:dyDescent="0.25">
      <c r="A18" s="209">
        <v>9</v>
      </c>
      <c r="B18" s="335" t="s">
        <v>360</v>
      </c>
      <c r="C18" s="339">
        <f>C19+C20+C21+C22+C23+C24+C25</f>
        <v>2092.6999999999998</v>
      </c>
    </row>
    <row r="19" spans="1:3" ht="16.5" thickBot="1" x14ac:dyDescent="0.25">
      <c r="A19" s="209">
        <v>10</v>
      </c>
      <c r="B19" s="337" t="s">
        <v>361</v>
      </c>
      <c r="C19" s="338">
        <v>262.8</v>
      </c>
    </row>
    <row r="20" spans="1:3" ht="16.5" thickBot="1" x14ac:dyDescent="0.25">
      <c r="A20" s="209">
        <v>11</v>
      </c>
      <c r="B20" s="337" t="s">
        <v>2</v>
      </c>
      <c r="C20" s="338">
        <v>528.4</v>
      </c>
    </row>
    <row r="21" spans="1:3" ht="16.5" thickBot="1" x14ac:dyDescent="0.25">
      <c r="A21" s="209">
        <v>12</v>
      </c>
      <c r="B21" s="337" t="s">
        <v>362</v>
      </c>
      <c r="C21" s="338">
        <v>944.2</v>
      </c>
    </row>
    <row r="22" spans="1:3" ht="16.5" thickBot="1" x14ac:dyDescent="0.25">
      <c r="A22" s="209">
        <v>13</v>
      </c>
      <c r="B22" s="337" t="s">
        <v>363</v>
      </c>
      <c r="C22" s="338">
        <v>20.8</v>
      </c>
    </row>
    <row r="23" spans="1:3" ht="16.5" thickBot="1" x14ac:dyDescent="0.25">
      <c r="A23" s="209">
        <v>14</v>
      </c>
      <c r="B23" s="337" t="s">
        <v>223</v>
      </c>
      <c r="C23" s="338">
        <v>173</v>
      </c>
    </row>
    <row r="24" spans="1:3" ht="16.5" thickBot="1" x14ac:dyDescent="0.25">
      <c r="A24" s="209">
        <v>15</v>
      </c>
      <c r="B24" s="337" t="s">
        <v>257</v>
      </c>
      <c r="C24" s="338">
        <v>161</v>
      </c>
    </row>
    <row r="25" spans="1:3" ht="16.5" thickBot="1" x14ac:dyDescent="0.25">
      <c r="A25" s="209">
        <v>16</v>
      </c>
      <c r="B25" s="337" t="s">
        <v>301</v>
      </c>
      <c r="C25" s="338">
        <v>2.5</v>
      </c>
    </row>
    <row r="26" spans="1:3" ht="16.5" thickBot="1" x14ac:dyDescent="0.25">
      <c r="A26" s="209">
        <v>17</v>
      </c>
      <c r="B26" s="335" t="s">
        <v>364</v>
      </c>
      <c r="C26" s="339">
        <f>C27+C28</f>
        <v>292.7</v>
      </c>
    </row>
    <row r="27" spans="1:3" ht="16.5" thickBot="1" x14ac:dyDescent="0.25">
      <c r="A27" s="209">
        <v>18</v>
      </c>
      <c r="B27" s="337" t="s">
        <v>365</v>
      </c>
      <c r="C27" s="338">
        <v>287.89999999999998</v>
      </c>
    </row>
    <row r="28" spans="1:3" ht="16.5" thickBot="1" x14ac:dyDescent="0.25">
      <c r="A28" s="209">
        <v>19</v>
      </c>
      <c r="B28" s="337" t="s">
        <v>366</v>
      </c>
      <c r="C28" s="338">
        <v>4.8</v>
      </c>
    </row>
    <row r="29" spans="1:3" ht="16.5" thickBot="1" x14ac:dyDescent="0.25">
      <c r="A29" s="209">
        <v>20</v>
      </c>
      <c r="B29" s="335" t="s">
        <v>367</v>
      </c>
      <c r="C29" s="339">
        <f>C30+C31</f>
        <v>566.4</v>
      </c>
    </row>
    <row r="30" spans="1:3" ht="16.5" thickBot="1" x14ac:dyDescent="0.25">
      <c r="A30" s="209">
        <v>21</v>
      </c>
      <c r="B30" s="337" t="s">
        <v>368</v>
      </c>
      <c r="C30" s="338">
        <v>279.39999999999998</v>
      </c>
    </row>
    <row r="31" spans="1:3" ht="16.5" thickBot="1" x14ac:dyDescent="0.25">
      <c r="A31" s="209">
        <v>22</v>
      </c>
      <c r="B31" s="337" t="s">
        <v>369</v>
      </c>
      <c r="C31" s="338">
        <v>287</v>
      </c>
    </row>
    <row r="32" spans="1:3" ht="16.5" thickBot="1" x14ac:dyDescent="0.25">
      <c r="A32" s="209">
        <v>23</v>
      </c>
      <c r="B32" s="335" t="s">
        <v>492</v>
      </c>
      <c r="C32" s="339">
        <f>C33+C34</f>
        <v>11.064</v>
      </c>
    </row>
    <row r="33" spans="1:3" ht="16.5" thickBot="1" x14ac:dyDescent="0.25">
      <c r="A33" s="209">
        <v>24</v>
      </c>
      <c r="B33" s="337" t="s">
        <v>370</v>
      </c>
      <c r="C33" s="338">
        <v>8.3960000000000008</v>
      </c>
    </row>
    <row r="34" spans="1:3" ht="32.25" thickBot="1" x14ac:dyDescent="0.25">
      <c r="A34" s="209">
        <v>25</v>
      </c>
      <c r="B34" s="337" t="s">
        <v>573</v>
      </c>
      <c r="C34" s="338">
        <v>2.6680000000000001</v>
      </c>
    </row>
    <row r="35" spans="1:3" ht="16.5" thickBot="1" x14ac:dyDescent="0.25">
      <c r="A35" s="209">
        <v>26</v>
      </c>
      <c r="B35" s="335" t="s">
        <v>371</v>
      </c>
      <c r="C35" s="339">
        <f>C36</f>
        <v>9.4</v>
      </c>
    </row>
    <row r="36" spans="1:3" ht="16.5" thickBot="1" x14ac:dyDescent="0.25">
      <c r="A36" s="209">
        <v>27</v>
      </c>
      <c r="B36" s="337" t="s">
        <v>372</v>
      </c>
      <c r="C36" s="338">
        <v>9.4</v>
      </c>
    </row>
    <row r="37" spans="1:3" ht="16.5" thickBot="1" x14ac:dyDescent="0.25">
      <c r="A37" s="209">
        <v>28</v>
      </c>
      <c r="B37" s="335" t="s">
        <v>373</v>
      </c>
      <c r="C37" s="339">
        <f>C38</f>
        <v>30.2</v>
      </c>
    </row>
    <row r="38" spans="1:3" ht="16.5" thickBot="1" x14ac:dyDescent="0.25">
      <c r="A38" s="209">
        <v>29</v>
      </c>
      <c r="B38" s="337" t="s">
        <v>374</v>
      </c>
      <c r="C38" s="338">
        <v>30.2</v>
      </c>
    </row>
    <row r="39" spans="1:3" ht="16.5" thickBot="1" x14ac:dyDescent="0.25">
      <c r="A39" s="209">
        <v>30</v>
      </c>
      <c r="B39" s="335" t="s">
        <v>375</v>
      </c>
      <c r="C39" s="339">
        <f>C40</f>
        <v>0.7</v>
      </c>
    </row>
    <row r="40" spans="1:3" ht="16.5" thickBot="1" x14ac:dyDescent="0.25">
      <c r="A40" s="209">
        <v>31</v>
      </c>
      <c r="B40" s="337" t="s">
        <v>376</v>
      </c>
      <c r="C40" s="338">
        <v>0.7</v>
      </c>
    </row>
    <row r="41" spans="1:3" ht="16.5" thickBot="1" x14ac:dyDescent="0.25">
      <c r="A41" s="209">
        <v>32</v>
      </c>
      <c r="B41" s="335" t="s">
        <v>377</v>
      </c>
      <c r="C41" s="339">
        <f>C42</f>
        <v>9</v>
      </c>
    </row>
    <row r="42" spans="1:3" ht="16.5" thickBot="1" x14ac:dyDescent="0.25">
      <c r="A42" s="209">
        <v>33</v>
      </c>
      <c r="B42" s="337" t="s">
        <v>378</v>
      </c>
      <c r="C42" s="338">
        <v>9</v>
      </c>
    </row>
    <row r="43" spans="1:3" ht="32.25" thickBot="1" x14ac:dyDescent="0.25">
      <c r="A43" s="209">
        <v>34</v>
      </c>
      <c r="B43" s="340" t="s">
        <v>608</v>
      </c>
      <c r="C43" s="341">
        <f>C10+C14+C18+C26+C29+C35+C37+C39+C41+C32</f>
        <v>4307.963999999999</v>
      </c>
    </row>
    <row r="44" spans="1:3" ht="16.5" thickBot="1" x14ac:dyDescent="0.25">
      <c r="A44" s="209">
        <v>35</v>
      </c>
      <c r="B44" s="335" t="s">
        <v>651</v>
      </c>
      <c r="C44" s="341">
        <f>C45+C55+C57+C75+C68+C70+C73</f>
        <v>17343.62932</v>
      </c>
    </row>
    <row r="45" spans="1:3" ht="16.5" thickBot="1" x14ac:dyDescent="0.25">
      <c r="A45" s="209">
        <v>36</v>
      </c>
      <c r="B45" s="335" t="s">
        <v>379</v>
      </c>
      <c r="C45" s="342">
        <f>C46+C47+C48+C49+C50+C52+C51+C53+C54</f>
        <v>9969.1149999999998</v>
      </c>
    </row>
    <row r="46" spans="1:3" ht="16.5" thickBot="1" x14ac:dyDescent="0.25">
      <c r="A46" s="209">
        <v>37</v>
      </c>
      <c r="B46" s="337" t="s">
        <v>324</v>
      </c>
      <c r="C46" s="343">
        <v>9619.5</v>
      </c>
    </row>
    <row r="47" spans="1:3" ht="16.5" thickBot="1" x14ac:dyDescent="0.25">
      <c r="A47" s="209">
        <v>38</v>
      </c>
      <c r="B47" s="344" t="s">
        <v>380</v>
      </c>
      <c r="C47" s="338"/>
    </row>
    <row r="48" spans="1:3" ht="32.25" thickBot="1" x14ac:dyDescent="0.25">
      <c r="A48" s="209">
        <v>39</v>
      </c>
      <c r="B48" s="344" t="s">
        <v>539</v>
      </c>
      <c r="C48" s="338">
        <v>134.9</v>
      </c>
    </row>
    <row r="49" spans="1:5" ht="32.25" thickBot="1" x14ac:dyDescent="0.25">
      <c r="A49" s="209">
        <v>40</v>
      </c>
      <c r="B49" s="345" t="s">
        <v>540</v>
      </c>
      <c r="C49" s="338">
        <v>0.8</v>
      </c>
    </row>
    <row r="50" spans="1:5" ht="32.25" thickBot="1" x14ac:dyDescent="0.25">
      <c r="A50" s="209">
        <v>41</v>
      </c>
      <c r="B50" s="337" t="s">
        <v>541</v>
      </c>
      <c r="C50" s="338">
        <v>23.286999999999999</v>
      </c>
    </row>
    <row r="51" spans="1:5" ht="16.5" thickBot="1" x14ac:dyDescent="0.25">
      <c r="A51" s="209">
        <v>42</v>
      </c>
      <c r="B51" s="337" t="s">
        <v>542</v>
      </c>
      <c r="C51" s="343">
        <v>131</v>
      </c>
    </row>
    <row r="52" spans="1:5" ht="34.5" customHeight="1" thickBot="1" x14ac:dyDescent="0.25">
      <c r="A52" s="209">
        <v>43</v>
      </c>
      <c r="B52" s="337" t="s">
        <v>543</v>
      </c>
      <c r="C52" s="338">
        <v>28.28</v>
      </c>
    </row>
    <row r="53" spans="1:5" ht="48" thickBot="1" x14ac:dyDescent="0.3">
      <c r="A53" s="209">
        <v>44</v>
      </c>
      <c r="B53" s="210" t="s">
        <v>615</v>
      </c>
      <c r="C53" s="216">
        <v>6.3719999999999999</v>
      </c>
    </row>
    <row r="54" spans="1:5" ht="34.5" customHeight="1" thickBot="1" x14ac:dyDescent="0.3">
      <c r="A54" s="209">
        <v>45</v>
      </c>
      <c r="B54" s="210" t="s">
        <v>681</v>
      </c>
      <c r="C54" s="213">
        <v>24.975999999999999</v>
      </c>
    </row>
    <row r="55" spans="1:5" ht="16.5" thickBot="1" x14ac:dyDescent="0.25">
      <c r="A55" s="209">
        <v>46</v>
      </c>
      <c r="B55" s="335" t="s">
        <v>383</v>
      </c>
      <c r="C55" s="339">
        <f>C56</f>
        <v>33.564</v>
      </c>
    </row>
    <row r="56" spans="1:5" ht="16.5" thickBot="1" x14ac:dyDescent="0.25">
      <c r="A56" s="209">
        <v>47</v>
      </c>
      <c r="B56" s="337" t="s">
        <v>384</v>
      </c>
      <c r="C56" s="338">
        <v>33.564</v>
      </c>
    </row>
    <row r="57" spans="1:5" ht="19.5" customHeight="1" thickBot="1" x14ac:dyDescent="0.25">
      <c r="A57" s="209">
        <v>48</v>
      </c>
      <c r="B57" s="335" t="s">
        <v>360</v>
      </c>
      <c r="C57" s="346">
        <f>C58+C59+C60+C61+C62+C63+C64+C65+C66+C67</f>
        <v>3766.2157299999999</v>
      </c>
    </row>
    <row r="58" spans="1:5" ht="16.5" thickBot="1" x14ac:dyDescent="0.25">
      <c r="A58" s="209">
        <v>49</v>
      </c>
      <c r="B58" s="337" t="s">
        <v>544</v>
      </c>
      <c r="C58" s="338">
        <v>182.2</v>
      </c>
    </row>
    <row r="59" spans="1:5" ht="30.75" customHeight="1" thickBot="1" x14ac:dyDescent="0.3">
      <c r="A59" s="209">
        <v>50</v>
      </c>
      <c r="B59" s="186" t="s">
        <v>469</v>
      </c>
      <c r="C59" s="187">
        <v>111.495</v>
      </c>
    </row>
    <row r="60" spans="1:5" ht="32.25" thickBot="1" x14ac:dyDescent="0.3">
      <c r="A60" s="209">
        <v>51</v>
      </c>
      <c r="B60" s="347" t="s">
        <v>491</v>
      </c>
      <c r="C60" s="218">
        <v>110.282</v>
      </c>
    </row>
    <row r="61" spans="1:5" ht="16.5" thickBot="1" x14ac:dyDescent="0.3">
      <c r="A61" s="209">
        <v>52</v>
      </c>
      <c r="B61" s="347" t="s">
        <v>490</v>
      </c>
      <c r="C61" s="218">
        <v>24.678999999999998</v>
      </c>
    </row>
    <row r="62" spans="1:5" ht="32.25" thickBot="1" x14ac:dyDescent="0.3">
      <c r="A62" s="209">
        <v>53</v>
      </c>
      <c r="B62" s="214" t="s">
        <v>565</v>
      </c>
      <c r="C62" s="187">
        <v>56.75</v>
      </c>
      <c r="E62" s="193"/>
    </row>
    <row r="63" spans="1:5" ht="32.25" thickBot="1" x14ac:dyDescent="0.3">
      <c r="A63" s="209">
        <v>54</v>
      </c>
      <c r="B63" s="186" t="s">
        <v>567</v>
      </c>
      <c r="C63" s="187">
        <v>46.390999999999998</v>
      </c>
    </row>
    <row r="64" spans="1:5" ht="16.5" thickBot="1" x14ac:dyDescent="0.3">
      <c r="A64" s="209">
        <v>55</v>
      </c>
      <c r="B64" s="210" t="s">
        <v>569</v>
      </c>
      <c r="C64" s="187">
        <v>18.992999999999999</v>
      </c>
    </row>
    <row r="65" spans="1:3" ht="32.25" thickBot="1" x14ac:dyDescent="0.3">
      <c r="A65" s="209">
        <v>56</v>
      </c>
      <c r="B65" s="220" t="s">
        <v>571</v>
      </c>
      <c r="C65" s="221">
        <v>41.332529999999998</v>
      </c>
    </row>
    <row r="66" spans="1:3" ht="16.5" thickBot="1" x14ac:dyDescent="0.3">
      <c r="A66" s="209">
        <v>57</v>
      </c>
      <c r="B66" s="210" t="s">
        <v>591</v>
      </c>
      <c r="C66" s="222">
        <v>28.693200000000001</v>
      </c>
    </row>
    <row r="67" spans="1:3" ht="32.25" thickBot="1" x14ac:dyDescent="0.3">
      <c r="A67" s="209">
        <v>58</v>
      </c>
      <c r="B67" s="210" t="s">
        <v>613</v>
      </c>
      <c r="C67" s="216">
        <v>3145.4</v>
      </c>
    </row>
    <row r="68" spans="1:3" ht="16.5" thickBot="1" x14ac:dyDescent="0.3">
      <c r="A68" s="209">
        <v>59</v>
      </c>
      <c r="B68" s="348" t="s">
        <v>574</v>
      </c>
      <c r="C68" s="349">
        <f>C69</f>
        <v>2493.8000000000002</v>
      </c>
    </row>
    <row r="69" spans="1:3" ht="16.5" thickBot="1" x14ac:dyDescent="0.3">
      <c r="A69" s="209">
        <v>60</v>
      </c>
      <c r="B69" s="210" t="s">
        <v>572</v>
      </c>
      <c r="C69" s="350">
        <v>2493.8000000000002</v>
      </c>
    </row>
    <row r="70" spans="1:3" ht="16.5" thickBot="1" x14ac:dyDescent="0.3">
      <c r="A70" s="209">
        <v>61</v>
      </c>
      <c r="B70" s="348" t="s">
        <v>492</v>
      </c>
      <c r="C70" s="351">
        <f>C71+C72</f>
        <v>74.185589999999991</v>
      </c>
    </row>
    <row r="71" spans="1:3" ht="32.25" thickBot="1" x14ac:dyDescent="0.3">
      <c r="A71" s="209">
        <v>62</v>
      </c>
      <c r="B71" s="210" t="s">
        <v>682</v>
      </c>
      <c r="C71" s="216">
        <v>14.891719999999999</v>
      </c>
    </row>
    <row r="72" spans="1:3" ht="48" thickBot="1" x14ac:dyDescent="0.3">
      <c r="A72" s="209">
        <v>63</v>
      </c>
      <c r="B72" s="210" t="s">
        <v>678</v>
      </c>
      <c r="C72" s="216">
        <v>59.293869999999998</v>
      </c>
    </row>
    <row r="73" spans="1:3" ht="16.5" thickBot="1" x14ac:dyDescent="0.3">
      <c r="A73" s="209">
        <v>64</v>
      </c>
      <c r="B73" s="348" t="s">
        <v>649</v>
      </c>
      <c r="C73" s="352">
        <f>C74</f>
        <v>8.7490000000000006</v>
      </c>
    </row>
    <row r="74" spans="1:3" ht="48" thickBot="1" x14ac:dyDescent="0.3">
      <c r="A74" s="209">
        <v>65</v>
      </c>
      <c r="B74" s="210" t="s">
        <v>640</v>
      </c>
      <c r="C74" s="353">
        <v>8.7490000000000006</v>
      </c>
    </row>
    <row r="75" spans="1:3" ht="32.25" thickBot="1" x14ac:dyDescent="0.25">
      <c r="A75" s="209">
        <v>67</v>
      </c>
      <c r="B75" s="335" t="s">
        <v>650</v>
      </c>
      <c r="C75" s="354">
        <f>C76</f>
        <v>998</v>
      </c>
    </row>
    <row r="76" spans="1:3" ht="16.5" thickBot="1" x14ac:dyDescent="0.25">
      <c r="A76" s="209">
        <v>68</v>
      </c>
      <c r="B76" s="337" t="s">
        <v>534</v>
      </c>
      <c r="C76" s="343">
        <v>998</v>
      </c>
    </row>
    <row r="77" spans="1:3" ht="16.5" thickBot="1" x14ac:dyDescent="0.3">
      <c r="A77" s="355">
        <v>69</v>
      </c>
      <c r="B77" s="356" t="s">
        <v>609</v>
      </c>
      <c r="C77" s="357">
        <f>C43+C44</f>
        <v>21651.59332</v>
      </c>
    </row>
  </sheetData>
  <mergeCells count="2">
    <mergeCell ref="B4:C4"/>
    <mergeCell ref="B5:C5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9" t="s">
        <v>25</v>
      </c>
    </row>
    <row r="3" spans="1:22" x14ac:dyDescent="0.2">
      <c r="C3" s="830" t="s">
        <v>213</v>
      </c>
      <c r="D3" s="830"/>
      <c r="E3" s="830"/>
      <c r="F3" s="830"/>
      <c r="G3" s="830"/>
      <c r="H3" s="830"/>
      <c r="I3" s="830"/>
      <c r="J3" s="830"/>
      <c r="P3" s="9"/>
      <c r="R3" s="9" t="s">
        <v>214</v>
      </c>
      <c r="S3" s="4"/>
      <c r="T3" s="4"/>
      <c r="U3" s="5"/>
      <c r="V3" s="5"/>
    </row>
    <row r="4" spans="1:22" x14ac:dyDescent="0.2">
      <c r="B4" s="60"/>
      <c r="C4" s="830" t="s">
        <v>112</v>
      </c>
      <c r="D4" s="830"/>
      <c r="E4" s="830"/>
      <c r="F4" s="830"/>
      <c r="G4" s="830"/>
      <c r="H4" s="830"/>
      <c r="I4" s="830"/>
      <c r="P4" s="9"/>
      <c r="Q4" s="4"/>
      <c r="R4" s="9" t="s">
        <v>113</v>
      </c>
    </row>
    <row r="5" spans="1:22" ht="13.5" thickBot="1" x14ac:dyDescent="0.25">
      <c r="P5" s="9"/>
      <c r="T5" s="7" t="s">
        <v>114</v>
      </c>
    </row>
    <row r="6" spans="1:22" x14ac:dyDescent="0.2">
      <c r="A6" s="842"/>
      <c r="B6" s="844" t="s">
        <v>42</v>
      </c>
      <c r="C6" s="847" t="s">
        <v>43</v>
      </c>
      <c r="D6" s="837" t="s">
        <v>44</v>
      </c>
      <c r="E6" s="837"/>
      <c r="F6" s="838"/>
      <c r="G6" s="847" t="s">
        <v>45</v>
      </c>
      <c r="H6" s="837" t="s">
        <v>44</v>
      </c>
      <c r="I6" s="837"/>
      <c r="J6" s="839"/>
      <c r="K6" s="834" t="s">
        <v>215</v>
      </c>
      <c r="L6" s="837" t="s">
        <v>44</v>
      </c>
      <c r="M6" s="837"/>
      <c r="N6" s="838"/>
      <c r="O6" s="834" t="s">
        <v>46</v>
      </c>
      <c r="P6" s="837" t="s">
        <v>44</v>
      </c>
      <c r="Q6" s="837"/>
      <c r="R6" s="838"/>
      <c r="S6" s="834" t="s">
        <v>47</v>
      </c>
      <c r="T6" s="837" t="s">
        <v>44</v>
      </c>
      <c r="U6" s="837"/>
      <c r="V6" s="838"/>
    </row>
    <row r="7" spans="1:22" x14ac:dyDescent="0.2">
      <c r="A7" s="843"/>
      <c r="B7" s="845"/>
      <c r="C7" s="848"/>
      <c r="D7" s="831" t="s">
        <v>48</v>
      </c>
      <c r="E7" s="831"/>
      <c r="F7" s="840" t="s">
        <v>49</v>
      </c>
      <c r="G7" s="848"/>
      <c r="H7" s="831" t="s">
        <v>48</v>
      </c>
      <c r="I7" s="831"/>
      <c r="J7" s="832" t="s">
        <v>49</v>
      </c>
      <c r="K7" s="835"/>
      <c r="L7" s="831" t="s">
        <v>48</v>
      </c>
      <c r="M7" s="831"/>
      <c r="N7" s="840" t="s">
        <v>49</v>
      </c>
      <c r="O7" s="835"/>
      <c r="P7" s="831" t="s">
        <v>48</v>
      </c>
      <c r="Q7" s="831"/>
      <c r="R7" s="840" t="s">
        <v>49</v>
      </c>
      <c r="S7" s="835"/>
      <c r="T7" s="831" t="s">
        <v>48</v>
      </c>
      <c r="U7" s="831"/>
      <c r="V7" s="840" t="s">
        <v>49</v>
      </c>
    </row>
    <row r="8" spans="1:22" ht="48.75" thickBot="1" x14ac:dyDescent="0.25">
      <c r="A8" s="843"/>
      <c r="B8" s="846"/>
      <c r="C8" s="849"/>
      <c r="D8" s="61" t="s">
        <v>43</v>
      </c>
      <c r="E8" s="62" t="s">
        <v>50</v>
      </c>
      <c r="F8" s="841"/>
      <c r="G8" s="849"/>
      <c r="H8" s="61" t="s">
        <v>43</v>
      </c>
      <c r="I8" s="62" t="s">
        <v>50</v>
      </c>
      <c r="J8" s="833"/>
      <c r="K8" s="836"/>
      <c r="L8" s="61" t="s">
        <v>43</v>
      </c>
      <c r="M8" s="62" t="s">
        <v>50</v>
      </c>
      <c r="N8" s="841"/>
      <c r="O8" s="836"/>
      <c r="P8" s="61" t="s">
        <v>43</v>
      </c>
      <c r="Q8" s="62" t="s">
        <v>50</v>
      </c>
      <c r="R8" s="841"/>
      <c r="S8" s="836"/>
      <c r="T8" s="61" t="s">
        <v>43</v>
      </c>
      <c r="U8" s="62" t="s">
        <v>50</v>
      </c>
      <c r="V8" s="841"/>
    </row>
    <row r="9" spans="1:22" ht="30.75" thickBot="1" x14ac:dyDescent="0.3">
      <c r="A9" s="63">
        <v>1</v>
      </c>
      <c r="B9" s="64" t="s">
        <v>115</v>
      </c>
      <c r="C9" s="55">
        <f t="shared" ref="C9:F25" si="0">G9+K9+O9+S9</f>
        <v>0</v>
      </c>
      <c r="D9" s="53">
        <f t="shared" si="0"/>
        <v>0</v>
      </c>
      <c r="E9" s="53">
        <f t="shared" si="0"/>
        <v>0</v>
      </c>
      <c r="F9" s="55">
        <f t="shared" si="0"/>
        <v>0</v>
      </c>
      <c r="G9" s="65">
        <f>G13+G17+G18+G20+G25+G28+G31+SUM(G33:G43)+G23+G10</f>
        <v>0</v>
      </c>
      <c r="H9" s="66">
        <f>H13+H17+H18+H20+H25+H28+H31+SUM(H33:H43)+H23+H10</f>
        <v>0</v>
      </c>
      <c r="I9" s="66">
        <f>I13+I17+I18+I20+I25+I28+I31+SUM(I33:I43)+I23+I10</f>
        <v>0</v>
      </c>
      <c r="J9" s="67">
        <f>J13+J17+J18+J20+J25+J28+J31+SUM(J33:J43)+J23+J10</f>
        <v>0</v>
      </c>
      <c r="K9" s="66">
        <f>K13+K17+K18+K20+K25+K28+K31+SUM(K33:K43)</f>
        <v>0</v>
      </c>
      <c r="L9" s="53">
        <f>L13+L18+SUM(L33:L43)</f>
        <v>0</v>
      </c>
      <c r="M9" s="53">
        <f>M13+M17+M18+M20+M25+M28+M31+SUM(M33:M43)</f>
        <v>0</v>
      </c>
      <c r="N9" s="56"/>
      <c r="O9" s="65"/>
      <c r="P9" s="53"/>
      <c r="Q9" s="53"/>
      <c r="R9" s="58"/>
      <c r="S9" s="65">
        <f>S13+S17+S18+S20+S25+S28+S31+SUM(S33:S43)</f>
        <v>0</v>
      </c>
      <c r="T9" s="53">
        <f>T20+SUM(T34:T43)</f>
        <v>0</v>
      </c>
      <c r="U9" s="53">
        <f>U20+SUM(U34:U43)</f>
        <v>0</v>
      </c>
      <c r="V9" s="58"/>
    </row>
    <row r="10" spans="1:22" x14ac:dyDescent="0.2">
      <c r="A10" s="68">
        <v>2</v>
      </c>
      <c r="B10" s="69" t="s">
        <v>51</v>
      </c>
      <c r="C10" s="70">
        <f t="shared" si="0"/>
        <v>0</v>
      </c>
      <c r="D10" s="70">
        <f>H10+L10+P10+T10</f>
        <v>0</v>
      </c>
      <c r="E10" s="70">
        <f>I10+M10+Q10+U10</f>
        <v>0</v>
      </c>
      <c r="F10" s="71"/>
      <c r="G10" s="72">
        <f>G11+G12</f>
        <v>0</v>
      </c>
      <c r="H10" s="73">
        <f>H11+H12</f>
        <v>0</v>
      </c>
      <c r="I10" s="73">
        <f>I11+I12</f>
        <v>0</v>
      </c>
      <c r="J10" s="74"/>
      <c r="K10" s="70"/>
      <c r="L10" s="75"/>
      <c r="M10" s="75"/>
      <c r="N10" s="76"/>
      <c r="O10" s="77"/>
      <c r="P10" s="75"/>
      <c r="Q10" s="75"/>
      <c r="R10" s="78"/>
      <c r="S10" s="77"/>
      <c r="T10" s="75"/>
      <c r="U10" s="75"/>
      <c r="V10" s="78"/>
    </row>
    <row r="11" spans="1:22" x14ac:dyDescent="0.2">
      <c r="A11" s="68">
        <v>3</v>
      </c>
      <c r="B11" s="10" t="s">
        <v>52</v>
      </c>
      <c r="C11" s="11">
        <f t="shared" si="0"/>
        <v>0</v>
      </c>
      <c r="D11" s="11">
        <f>H11+L11+P11+T11</f>
        <v>0</v>
      </c>
      <c r="E11" s="11">
        <f>I11+M11+Q11+U11</f>
        <v>0</v>
      </c>
      <c r="F11" s="12"/>
      <c r="G11" s="13">
        <f>H11+J11</f>
        <v>0</v>
      </c>
      <c r="H11" s="14"/>
      <c r="I11" s="14"/>
      <c r="J11" s="78"/>
      <c r="K11" s="79"/>
      <c r="L11" s="75"/>
      <c r="M11" s="75"/>
      <c r="N11" s="79"/>
      <c r="O11" s="80"/>
      <c r="P11" s="75"/>
      <c r="Q11" s="75"/>
      <c r="R11" s="81"/>
      <c r="S11" s="80"/>
      <c r="T11" s="75"/>
      <c r="U11" s="75"/>
      <c r="V11" s="81"/>
    </row>
    <row r="12" spans="1:22" x14ac:dyDescent="0.2">
      <c r="A12" s="68">
        <v>4</v>
      </c>
      <c r="B12" s="15" t="s">
        <v>53</v>
      </c>
      <c r="C12" s="11">
        <f t="shared" si="0"/>
        <v>0</v>
      </c>
      <c r="D12" s="11">
        <f t="shared" si="0"/>
        <v>0</v>
      </c>
      <c r="E12" s="16">
        <f t="shared" si="0"/>
        <v>0</v>
      </c>
      <c r="F12" s="12"/>
      <c r="G12" s="13">
        <f>H12+J12</f>
        <v>0</v>
      </c>
      <c r="H12" s="17"/>
      <c r="I12" s="14"/>
      <c r="J12" s="78"/>
      <c r="K12" s="79"/>
      <c r="L12" s="75"/>
      <c r="M12" s="75"/>
      <c r="N12" s="79"/>
      <c r="O12" s="80"/>
      <c r="P12" s="75"/>
      <c r="Q12" s="75"/>
      <c r="R12" s="81"/>
      <c r="S12" s="80"/>
      <c r="T12" s="75"/>
      <c r="U12" s="75"/>
      <c r="V12" s="81"/>
    </row>
    <row r="13" spans="1:22" x14ac:dyDescent="0.2">
      <c r="A13" s="68">
        <v>5</v>
      </c>
      <c r="B13" s="82" t="s">
        <v>116</v>
      </c>
      <c r="C13" s="70">
        <f t="shared" si="0"/>
        <v>0</v>
      </c>
      <c r="D13" s="75">
        <f t="shared" ref="D13:J13" si="1">SUM(D14:D16)</f>
        <v>0</v>
      </c>
      <c r="E13" s="75">
        <f t="shared" si="1"/>
        <v>0</v>
      </c>
      <c r="F13" s="76">
        <f t="shared" si="1"/>
        <v>0</v>
      </c>
      <c r="G13" s="77">
        <f t="shared" si="1"/>
        <v>0</v>
      </c>
      <c r="H13" s="75">
        <f t="shared" si="1"/>
        <v>0</v>
      </c>
      <c r="I13" s="75">
        <f t="shared" si="1"/>
        <v>0</v>
      </c>
      <c r="J13" s="78">
        <f t="shared" si="1"/>
        <v>0</v>
      </c>
      <c r="K13" s="79">
        <f>K14+K15+K16</f>
        <v>0</v>
      </c>
      <c r="L13" s="20">
        <f>L14+L15+L16</f>
        <v>0</v>
      </c>
      <c r="M13" s="20">
        <f>M14+M15+M16</f>
        <v>0</v>
      </c>
      <c r="N13" s="79"/>
      <c r="O13" s="80"/>
      <c r="P13" s="75"/>
      <c r="Q13" s="75"/>
      <c r="R13" s="81"/>
      <c r="S13" s="80"/>
      <c r="T13" s="75"/>
      <c r="U13" s="75"/>
      <c r="V13" s="81"/>
    </row>
    <row r="14" spans="1:22" x14ac:dyDescent="0.2">
      <c r="A14" s="83">
        <f>+A13+1</f>
        <v>6</v>
      </c>
      <c r="B14" s="33" t="s">
        <v>117</v>
      </c>
      <c r="C14" s="11">
        <f t="shared" si="0"/>
        <v>0</v>
      </c>
      <c r="D14" s="16">
        <f t="shared" si="0"/>
        <v>0</v>
      </c>
      <c r="E14" s="16">
        <f t="shared" si="0"/>
        <v>0</v>
      </c>
      <c r="F14" s="16">
        <f t="shared" si="0"/>
        <v>0</v>
      </c>
      <c r="G14" s="13">
        <f t="shared" ref="G14:G24" si="2">H14+J14</f>
        <v>0</v>
      </c>
      <c r="H14" s="16"/>
      <c r="I14" s="84"/>
      <c r="J14" s="85"/>
      <c r="K14" s="11">
        <f>L14+N14</f>
        <v>0</v>
      </c>
      <c r="L14" s="86"/>
      <c r="M14" s="84"/>
      <c r="N14" s="87"/>
      <c r="O14" s="88"/>
      <c r="P14" s="86"/>
      <c r="Q14" s="86"/>
      <c r="R14" s="85"/>
      <c r="S14" s="13"/>
      <c r="T14" s="86"/>
      <c r="U14" s="86"/>
      <c r="V14" s="85"/>
    </row>
    <row r="15" spans="1:22" x14ac:dyDescent="0.2">
      <c r="A15" s="83">
        <v>7</v>
      </c>
      <c r="B15" s="33" t="s">
        <v>118</v>
      </c>
      <c r="C15" s="11">
        <f t="shared" si="0"/>
        <v>0</v>
      </c>
      <c r="D15" s="86">
        <f t="shared" si="0"/>
        <v>0</v>
      </c>
      <c r="E15" s="86"/>
      <c r="F15" s="76"/>
      <c r="G15" s="13">
        <f t="shared" si="2"/>
        <v>0</v>
      </c>
      <c r="H15" s="86"/>
      <c r="I15" s="86"/>
      <c r="J15" s="85"/>
      <c r="K15" s="19"/>
      <c r="L15" s="86"/>
      <c r="M15" s="86"/>
      <c r="N15" s="87"/>
      <c r="O15" s="88"/>
      <c r="P15" s="86"/>
      <c r="Q15" s="86"/>
      <c r="R15" s="85"/>
      <c r="S15" s="88"/>
      <c r="T15" s="86"/>
      <c r="U15" s="86"/>
      <c r="V15" s="85"/>
    </row>
    <row r="16" spans="1:22" x14ac:dyDescent="0.2">
      <c r="A16" s="83">
        <f>+A15+1</f>
        <v>8</v>
      </c>
      <c r="B16" s="33" t="s">
        <v>119</v>
      </c>
      <c r="C16" s="11">
        <f t="shared" si="0"/>
        <v>0</v>
      </c>
      <c r="D16" s="86">
        <f t="shared" si="0"/>
        <v>0</v>
      </c>
      <c r="E16" s="86"/>
      <c r="F16" s="76"/>
      <c r="G16" s="13">
        <f t="shared" si="2"/>
        <v>0</v>
      </c>
      <c r="H16" s="86"/>
      <c r="I16" s="86"/>
      <c r="J16" s="85"/>
      <c r="K16" s="19"/>
      <c r="L16" s="86"/>
      <c r="M16" s="86"/>
      <c r="N16" s="87"/>
      <c r="O16" s="88"/>
      <c r="P16" s="86"/>
      <c r="Q16" s="86"/>
      <c r="R16" s="85"/>
      <c r="S16" s="88"/>
      <c r="T16" s="86"/>
      <c r="U16" s="86"/>
      <c r="V16" s="85"/>
    </row>
    <row r="17" spans="1:22" x14ac:dyDescent="0.2">
      <c r="A17" s="83">
        <v>9</v>
      </c>
      <c r="B17" s="18" t="s">
        <v>120</v>
      </c>
      <c r="C17" s="19">
        <f t="shared" si="0"/>
        <v>0</v>
      </c>
      <c r="D17" s="20">
        <f t="shared" si="0"/>
        <v>0</v>
      </c>
      <c r="E17" s="20">
        <f>I17+M17+Q17+U17</f>
        <v>0</v>
      </c>
      <c r="F17" s="87"/>
      <c r="G17" s="22">
        <f t="shared" si="2"/>
        <v>0</v>
      </c>
      <c r="H17" s="20"/>
      <c r="I17" s="20"/>
      <c r="J17" s="85"/>
      <c r="K17" s="19"/>
      <c r="L17" s="86"/>
      <c r="M17" s="86"/>
      <c r="N17" s="87"/>
      <c r="O17" s="88"/>
      <c r="P17" s="86"/>
      <c r="Q17" s="86"/>
      <c r="R17" s="85"/>
      <c r="S17" s="88"/>
      <c r="T17" s="86"/>
      <c r="U17" s="86"/>
      <c r="V17" s="85"/>
    </row>
    <row r="18" spans="1:22" x14ac:dyDescent="0.2">
      <c r="A18" s="83">
        <v>10</v>
      </c>
      <c r="B18" s="18" t="s">
        <v>121</v>
      </c>
      <c r="C18" s="19">
        <f t="shared" si="0"/>
        <v>0</v>
      </c>
      <c r="D18" s="20">
        <f t="shared" si="0"/>
        <v>0</v>
      </c>
      <c r="E18" s="20"/>
      <c r="F18" s="87"/>
      <c r="G18" s="22"/>
      <c r="H18" s="89"/>
      <c r="I18" s="20"/>
      <c r="J18" s="90"/>
      <c r="K18" s="89">
        <f>K19</f>
        <v>0</v>
      </c>
      <c r="L18" s="20">
        <f>L19</f>
        <v>0</v>
      </c>
      <c r="M18" s="86"/>
      <c r="N18" s="87"/>
      <c r="O18" s="88"/>
      <c r="P18" s="86"/>
      <c r="Q18" s="86"/>
      <c r="R18" s="85"/>
      <c r="S18" s="88"/>
      <c r="T18" s="86"/>
      <c r="U18" s="86"/>
      <c r="V18" s="85"/>
    </row>
    <row r="19" spans="1:22" x14ac:dyDescent="0.2">
      <c r="A19" s="83">
        <v>11</v>
      </c>
      <c r="B19" s="33" t="s">
        <v>122</v>
      </c>
      <c r="C19" s="11">
        <f t="shared" si="0"/>
        <v>0</v>
      </c>
      <c r="D19" s="16">
        <f t="shared" si="0"/>
        <v>0</v>
      </c>
      <c r="E19" s="20"/>
      <c r="F19" s="87"/>
      <c r="G19" s="13"/>
      <c r="H19" s="30"/>
      <c r="I19" s="20"/>
      <c r="J19" s="90"/>
      <c r="K19" s="30">
        <f>L19+M19+N19</f>
        <v>0</v>
      </c>
      <c r="L19" s="86"/>
      <c r="M19" s="86"/>
      <c r="N19" s="87"/>
      <c r="O19" s="88"/>
      <c r="P19" s="86"/>
      <c r="Q19" s="86"/>
      <c r="R19" s="85"/>
      <c r="S19" s="88"/>
      <c r="T19" s="86"/>
      <c r="U19" s="86"/>
      <c r="V19" s="85"/>
    </row>
    <row r="20" spans="1:22" x14ac:dyDescent="0.2">
      <c r="A20" s="83">
        <v>12</v>
      </c>
      <c r="B20" s="18" t="s">
        <v>36</v>
      </c>
      <c r="C20" s="19">
        <f t="shared" si="0"/>
        <v>0</v>
      </c>
      <c r="D20" s="20">
        <f t="shared" si="0"/>
        <v>0</v>
      </c>
      <c r="E20" s="20"/>
      <c r="F20" s="21"/>
      <c r="G20" s="28">
        <f t="shared" si="2"/>
        <v>0</v>
      </c>
      <c r="H20" s="20">
        <f>H21+H22</f>
        <v>0</v>
      </c>
      <c r="I20" s="20"/>
      <c r="J20" s="29"/>
      <c r="K20" s="89"/>
      <c r="L20" s="20"/>
      <c r="M20" s="20"/>
      <c r="N20" s="89"/>
      <c r="O20" s="28"/>
      <c r="P20" s="20"/>
      <c r="Q20" s="20"/>
      <c r="R20" s="29"/>
      <c r="S20" s="28">
        <f>S21+S22</f>
        <v>0</v>
      </c>
      <c r="T20" s="20">
        <f>T21+T22</f>
        <v>0</v>
      </c>
      <c r="U20" s="20"/>
      <c r="V20" s="23"/>
    </row>
    <row r="21" spans="1:22" x14ac:dyDescent="0.2">
      <c r="A21" s="83">
        <v>13</v>
      </c>
      <c r="B21" s="33" t="s">
        <v>123</v>
      </c>
      <c r="C21" s="11">
        <f t="shared" si="0"/>
        <v>0</v>
      </c>
      <c r="D21" s="86">
        <f t="shared" si="0"/>
        <v>0</v>
      </c>
      <c r="E21" s="86"/>
      <c r="F21" s="87"/>
      <c r="G21" s="13">
        <f t="shared" si="2"/>
        <v>0</v>
      </c>
      <c r="H21" s="86"/>
      <c r="I21" s="86"/>
      <c r="J21" s="85"/>
      <c r="K21" s="19"/>
      <c r="L21" s="87"/>
      <c r="M21" s="86"/>
      <c r="N21" s="87"/>
      <c r="O21" s="88"/>
      <c r="P21" s="86"/>
      <c r="Q21" s="86"/>
      <c r="R21" s="85"/>
      <c r="S21" s="88"/>
      <c r="T21" s="86"/>
      <c r="U21" s="86"/>
      <c r="V21" s="85"/>
    </row>
    <row r="22" spans="1:22" ht="15.75" x14ac:dyDescent="0.25">
      <c r="A22" s="83">
        <v>14</v>
      </c>
      <c r="B22" s="33" t="s">
        <v>124</v>
      </c>
      <c r="C22" s="11">
        <f t="shared" si="0"/>
        <v>0</v>
      </c>
      <c r="D22" s="86">
        <f t="shared" si="0"/>
        <v>0</v>
      </c>
      <c r="E22" s="86"/>
      <c r="F22" s="87"/>
      <c r="G22" s="91"/>
      <c r="H22" s="86"/>
      <c r="I22" s="86"/>
      <c r="J22" s="85"/>
      <c r="K22" s="92"/>
      <c r="L22" s="87"/>
      <c r="M22" s="86"/>
      <c r="N22" s="87"/>
      <c r="O22" s="88"/>
      <c r="P22" s="86"/>
      <c r="Q22" s="86"/>
      <c r="R22" s="85"/>
      <c r="S22" s="13">
        <f>T22+V22</f>
        <v>0</v>
      </c>
      <c r="T22" s="86"/>
      <c r="U22" s="86"/>
      <c r="V22" s="85"/>
    </row>
    <row r="23" spans="1:22" x14ac:dyDescent="0.2">
      <c r="A23" s="83">
        <v>15</v>
      </c>
      <c r="B23" s="18" t="s">
        <v>125</v>
      </c>
      <c r="C23" s="19">
        <f t="shared" si="0"/>
        <v>0</v>
      </c>
      <c r="D23" s="20">
        <f t="shared" si="0"/>
        <v>0</v>
      </c>
      <c r="E23" s="20">
        <f t="shared" si="0"/>
        <v>0</v>
      </c>
      <c r="F23" s="21"/>
      <c r="G23" s="22">
        <f t="shared" si="2"/>
        <v>0</v>
      </c>
      <c r="H23" s="20">
        <f>H24</f>
        <v>0</v>
      </c>
      <c r="I23" s="20">
        <f>I24</f>
        <v>0</v>
      </c>
      <c r="J23" s="90"/>
      <c r="K23" s="93"/>
      <c r="L23" s="87"/>
      <c r="M23" s="86"/>
      <c r="N23" s="87"/>
      <c r="O23" s="88"/>
      <c r="P23" s="86"/>
      <c r="Q23" s="86"/>
      <c r="R23" s="85"/>
      <c r="S23" s="88"/>
      <c r="T23" s="86"/>
      <c r="U23" s="86"/>
      <c r="V23" s="85"/>
    </row>
    <row r="24" spans="1:22" x14ac:dyDescent="0.2">
      <c r="A24" s="83">
        <v>16</v>
      </c>
      <c r="B24" s="33" t="s">
        <v>126</v>
      </c>
      <c r="C24" s="11">
        <f t="shared" si="0"/>
        <v>0</v>
      </c>
      <c r="D24" s="86">
        <f t="shared" si="0"/>
        <v>0</v>
      </c>
      <c r="E24" s="86">
        <f t="shared" si="0"/>
        <v>0</v>
      </c>
      <c r="F24" s="87"/>
      <c r="G24" s="13">
        <f t="shared" si="2"/>
        <v>0</v>
      </c>
      <c r="H24" s="86"/>
      <c r="I24" s="86"/>
      <c r="J24" s="90"/>
      <c r="K24" s="93"/>
      <c r="L24" s="87"/>
      <c r="M24" s="86"/>
      <c r="N24" s="87"/>
      <c r="O24" s="88"/>
      <c r="P24" s="86"/>
      <c r="Q24" s="86"/>
      <c r="R24" s="85"/>
      <c r="S24" s="88"/>
      <c r="T24" s="86"/>
      <c r="U24" s="86"/>
      <c r="V24" s="85"/>
    </row>
    <row r="25" spans="1:22" x14ac:dyDescent="0.2">
      <c r="A25" s="83">
        <v>17</v>
      </c>
      <c r="B25" s="18" t="s">
        <v>127</v>
      </c>
      <c r="C25" s="19">
        <f t="shared" si="0"/>
        <v>0</v>
      </c>
      <c r="D25" s="20">
        <f t="shared" si="0"/>
        <v>0</v>
      </c>
      <c r="E25" s="20"/>
      <c r="F25" s="21"/>
      <c r="G25" s="28">
        <f>G26+G27</f>
        <v>0</v>
      </c>
      <c r="H25" s="20">
        <f>H26+H27</f>
        <v>0</v>
      </c>
      <c r="I25" s="20"/>
      <c r="J25" s="29"/>
      <c r="K25" s="93"/>
      <c r="L25" s="86"/>
      <c r="M25" s="86"/>
      <c r="N25" s="87"/>
      <c r="O25" s="88"/>
      <c r="P25" s="86"/>
      <c r="Q25" s="86"/>
      <c r="R25" s="85"/>
      <c r="S25" s="88"/>
      <c r="T25" s="86"/>
      <c r="U25" s="86"/>
      <c r="V25" s="85"/>
    </row>
    <row r="26" spans="1:22" ht="24" x14ac:dyDescent="0.2">
      <c r="A26" s="83">
        <v>18</v>
      </c>
      <c r="B26" s="94" t="s">
        <v>128</v>
      </c>
      <c r="C26" s="11">
        <f t="shared" ref="C26:E54" si="3">G26+K26+O26+S26</f>
        <v>0</v>
      </c>
      <c r="D26" s="86">
        <f t="shared" si="3"/>
        <v>0</v>
      </c>
      <c r="E26" s="86"/>
      <c r="F26" s="87"/>
      <c r="G26" s="95">
        <f>H26+J26</f>
        <v>0</v>
      </c>
      <c r="H26" s="86"/>
      <c r="I26" s="86"/>
      <c r="J26" s="90"/>
      <c r="K26" s="93"/>
      <c r="L26" s="86"/>
      <c r="M26" s="86"/>
      <c r="N26" s="87"/>
      <c r="O26" s="88"/>
      <c r="P26" s="86"/>
      <c r="Q26" s="86"/>
      <c r="R26" s="85"/>
      <c r="S26" s="88"/>
      <c r="T26" s="86"/>
      <c r="U26" s="86"/>
      <c r="V26" s="85"/>
    </row>
    <row r="27" spans="1:22" ht="25.5" x14ac:dyDescent="0.2">
      <c r="A27" s="83">
        <v>19</v>
      </c>
      <c r="B27" s="96" t="s">
        <v>129</v>
      </c>
      <c r="C27" s="11">
        <f t="shared" si="3"/>
        <v>0</v>
      </c>
      <c r="D27" s="86">
        <f t="shared" si="3"/>
        <v>0</v>
      </c>
      <c r="E27" s="86"/>
      <c r="F27" s="87"/>
      <c r="G27" s="95">
        <f>H27+J27</f>
        <v>0</v>
      </c>
      <c r="H27" s="86"/>
      <c r="I27" s="86"/>
      <c r="J27" s="90"/>
      <c r="K27" s="93"/>
      <c r="L27" s="86"/>
      <c r="M27" s="86"/>
      <c r="N27" s="87"/>
      <c r="O27" s="88"/>
      <c r="P27" s="86"/>
      <c r="Q27" s="86"/>
      <c r="R27" s="85"/>
      <c r="S27" s="88"/>
      <c r="T27" s="86"/>
      <c r="U27" s="86"/>
      <c r="V27" s="85"/>
    </row>
    <row r="28" spans="1:22" x14ac:dyDescent="0.2">
      <c r="A28" s="83">
        <f>+A27+1</f>
        <v>20</v>
      </c>
      <c r="B28" s="18" t="s">
        <v>130</v>
      </c>
      <c r="C28" s="19">
        <f t="shared" si="3"/>
        <v>0</v>
      </c>
      <c r="D28" s="20">
        <f t="shared" si="3"/>
        <v>0</v>
      </c>
      <c r="E28" s="86"/>
      <c r="F28" s="87"/>
      <c r="G28" s="28">
        <f>G29+G30</f>
        <v>0</v>
      </c>
      <c r="H28" s="20">
        <f>H29+H30</f>
        <v>0</v>
      </c>
      <c r="I28" s="86"/>
      <c r="J28" s="90"/>
      <c r="K28" s="93"/>
      <c r="L28" s="86"/>
      <c r="M28" s="86"/>
      <c r="N28" s="87"/>
      <c r="O28" s="88"/>
      <c r="P28" s="86"/>
      <c r="Q28" s="86"/>
      <c r="R28" s="85"/>
      <c r="S28" s="88"/>
      <c r="T28" s="86"/>
      <c r="U28" s="86"/>
      <c r="V28" s="85"/>
    </row>
    <row r="29" spans="1:22" x14ac:dyDescent="0.2">
      <c r="A29" s="83">
        <f>+A28+1</f>
        <v>21</v>
      </c>
      <c r="B29" s="97" t="s">
        <v>131</v>
      </c>
      <c r="C29" s="11">
        <f t="shared" si="3"/>
        <v>0</v>
      </c>
      <c r="D29" s="86">
        <f t="shared" si="3"/>
        <v>0</v>
      </c>
      <c r="E29" s="86"/>
      <c r="F29" s="87"/>
      <c r="G29" s="95">
        <f>H29+J29</f>
        <v>0</v>
      </c>
      <c r="H29" s="86"/>
      <c r="I29" s="86"/>
      <c r="J29" s="90"/>
      <c r="K29" s="93"/>
      <c r="L29" s="86"/>
      <c r="M29" s="86"/>
      <c r="N29" s="87"/>
      <c r="O29" s="88"/>
      <c r="P29" s="86"/>
      <c r="Q29" s="86"/>
      <c r="R29" s="85"/>
      <c r="S29" s="88"/>
      <c r="T29" s="86"/>
      <c r="U29" s="86"/>
      <c r="V29" s="85"/>
    </row>
    <row r="30" spans="1:22" x14ac:dyDescent="0.2">
      <c r="A30" s="83">
        <f>+A29+1</f>
        <v>22</v>
      </c>
      <c r="B30" s="33" t="s">
        <v>132</v>
      </c>
      <c r="C30" s="11">
        <f t="shared" si="3"/>
        <v>0</v>
      </c>
      <c r="D30" s="86">
        <f t="shared" si="3"/>
        <v>0</v>
      </c>
      <c r="E30" s="86"/>
      <c r="F30" s="87"/>
      <c r="G30" s="95">
        <f>H30+J30</f>
        <v>0</v>
      </c>
      <c r="H30" s="86"/>
      <c r="I30" s="86"/>
      <c r="J30" s="90"/>
      <c r="K30" s="93"/>
      <c r="L30" s="86"/>
      <c r="M30" s="86"/>
      <c r="N30" s="87"/>
      <c r="O30" s="88"/>
      <c r="P30" s="86"/>
      <c r="Q30" s="86"/>
      <c r="R30" s="85"/>
      <c r="S30" s="88"/>
      <c r="T30" s="86"/>
      <c r="U30" s="86"/>
      <c r="V30" s="85"/>
    </row>
    <row r="31" spans="1:22" x14ac:dyDescent="0.2">
      <c r="A31" s="83">
        <f>+A30+1</f>
        <v>23</v>
      </c>
      <c r="B31" s="18" t="s">
        <v>133</v>
      </c>
      <c r="C31" s="19">
        <f t="shared" si="3"/>
        <v>0</v>
      </c>
      <c r="D31" s="20">
        <f t="shared" si="3"/>
        <v>0</v>
      </c>
      <c r="E31" s="86"/>
      <c r="F31" s="87"/>
      <c r="G31" s="28">
        <f>H31</f>
        <v>0</v>
      </c>
      <c r="H31" s="20">
        <f>H32</f>
        <v>0</v>
      </c>
      <c r="I31" s="86"/>
      <c r="J31" s="90"/>
      <c r="K31" s="93"/>
      <c r="L31" s="86"/>
      <c r="M31" s="86"/>
      <c r="N31" s="87"/>
      <c r="O31" s="88"/>
      <c r="P31" s="86"/>
      <c r="Q31" s="86"/>
      <c r="R31" s="85"/>
      <c r="S31" s="88"/>
      <c r="T31" s="86"/>
      <c r="U31" s="86"/>
      <c r="V31" s="85"/>
    </row>
    <row r="32" spans="1:22" x14ac:dyDescent="0.2">
      <c r="A32" s="83">
        <f>+A31+1</f>
        <v>24</v>
      </c>
      <c r="B32" s="33" t="s">
        <v>134</v>
      </c>
      <c r="C32" s="11">
        <f t="shared" si="3"/>
        <v>0</v>
      </c>
      <c r="D32" s="86">
        <f t="shared" si="3"/>
        <v>0</v>
      </c>
      <c r="E32" s="86"/>
      <c r="F32" s="87"/>
      <c r="G32" s="88">
        <f t="shared" ref="G32:G43" si="4">H32+J32</f>
        <v>0</v>
      </c>
      <c r="H32" s="86"/>
      <c r="I32" s="86"/>
      <c r="J32" s="85"/>
      <c r="K32" s="92"/>
      <c r="L32" s="86"/>
      <c r="M32" s="86"/>
      <c r="N32" s="87"/>
      <c r="O32" s="88"/>
      <c r="P32" s="86"/>
      <c r="Q32" s="86"/>
      <c r="R32" s="85"/>
      <c r="S32" s="88"/>
      <c r="T32" s="86"/>
      <c r="U32" s="86"/>
      <c r="V32" s="85"/>
    </row>
    <row r="33" spans="1:22" x14ac:dyDescent="0.2">
      <c r="A33" s="83">
        <v>25</v>
      </c>
      <c r="B33" s="18" t="s">
        <v>1</v>
      </c>
      <c r="C33" s="19">
        <f t="shared" si="3"/>
        <v>0</v>
      </c>
      <c r="D33" s="20">
        <f t="shared" si="3"/>
        <v>0</v>
      </c>
      <c r="E33" s="20">
        <f t="shared" si="3"/>
        <v>0</v>
      </c>
      <c r="F33" s="21"/>
      <c r="G33" s="22">
        <f t="shared" si="4"/>
        <v>0</v>
      </c>
      <c r="H33" s="20"/>
      <c r="I33" s="20"/>
      <c r="J33" s="23"/>
      <c r="K33" s="19">
        <f>L33+N33</f>
        <v>0</v>
      </c>
      <c r="L33" s="20"/>
      <c r="M33" s="26"/>
      <c r="N33" s="21"/>
      <c r="O33" s="22"/>
      <c r="P33" s="20"/>
      <c r="Q33" s="20"/>
      <c r="R33" s="23"/>
      <c r="S33" s="22"/>
      <c r="T33" s="20"/>
      <c r="U33" s="20"/>
      <c r="V33" s="23"/>
    </row>
    <row r="34" spans="1:22" x14ac:dyDescent="0.2">
      <c r="A34" s="83">
        <v>26</v>
      </c>
      <c r="B34" s="18" t="s">
        <v>7</v>
      </c>
      <c r="C34" s="19">
        <f t="shared" si="3"/>
        <v>0</v>
      </c>
      <c r="D34" s="20">
        <f t="shared" si="3"/>
        <v>0</v>
      </c>
      <c r="E34" s="20">
        <f t="shared" si="3"/>
        <v>0</v>
      </c>
      <c r="F34" s="21"/>
      <c r="G34" s="22">
        <f t="shared" si="4"/>
        <v>0</v>
      </c>
      <c r="H34" s="20"/>
      <c r="I34" s="20"/>
      <c r="J34" s="23"/>
      <c r="K34" s="19">
        <f t="shared" ref="K34:K43" si="5">L34+N34</f>
        <v>0</v>
      </c>
      <c r="L34" s="20"/>
      <c r="M34" s="20"/>
      <c r="N34" s="24"/>
      <c r="O34" s="22"/>
      <c r="P34" s="20"/>
      <c r="Q34" s="20"/>
      <c r="R34" s="23"/>
      <c r="S34" s="22">
        <f t="shared" ref="S34:S43" si="6">T34+V34</f>
        <v>0</v>
      </c>
      <c r="T34" s="20"/>
      <c r="U34" s="20"/>
      <c r="V34" s="25"/>
    </row>
    <row r="35" spans="1:22" x14ac:dyDescent="0.2">
      <c r="A35" s="83">
        <f t="shared" ref="A35:A43" si="7">+A34+1</f>
        <v>27</v>
      </c>
      <c r="B35" s="18" t="s">
        <v>8</v>
      </c>
      <c r="C35" s="19">
        <f t="shared" si="3"/>
        <v>0</v>
      </c>
      <c r="D35" s="20">
        <f t="shared" si="3"/>
        <v>0</v>
      </c>
      <c r="E35" s="20">
        <f t="shared" si="3"/>
        <v>0</v>
      </c>
      <c r="F35" s="21"/>
      <c r="G35" s="22">
        <f t="shared" si="4"/>
        <v>0</v>
      </c>
      <c r="H35" s="20"/>
      <c r="I35" s="20"/>
      <c r="J35" s="25"/>
      <c r="K35" s="19">
        <f t="shared" si="5"/>
        <v>0</v>
      </c>
      <c r="L35" s="20"/>
      <c r="M35" s="20"/>
      <c r="N35" s="24"/>
      <c r="O35" s="22"/>
      <c r="P35" s="20"/>
      <c r="Q35" s="20"/>
      <c r="R35" s="23"/>
      <c r="S35" s="22">
        <f t="shared" si="6"/>
        <v>0</v>
      </c>
      <c r="T35" s="20"/>
      <c r="U35" s="20"/>
      <c r="V35" s="23"/>
    </row>
    <row r="36" spans="1:22" x14ac:dyDescent="0.2">
      <c r="A36" s="83">
        <f t="shared" si="7"/>
        <v>28</v>
      </c>
      <c r="B36" s="18" t="s">
        <v>9</v>
      </c>
      <c r="C36" s="19">
        <f t="shared" si="3"/>
        <v>0</v>
      </c>
      <c r="D36" s="20">
        <f t="shared" si="3"/>
        <v>0</v>
      </c>
      <c r="E36" s="20">
        <f t="shared" si="3"/>
        <v>0</v>
      </c>
      <c r="F36" s="21"/>
      <c r="G36" s="22">
        <f t="shared" si="4"/>
        <v>0</v>
      </c>
      <c r="H36" s="20"/>
      <c r="I36" s="20"/>
      <c r="J36" s="25"/>
      <c r="K36" s="19">
        <f t="shared" si="5"/>
        <v>0</v>
      </c>
      <c r="L36" s="20"/>
      <c r="M36" s="20"/>
      <c r="N36" s="24"/>
      <c r="O36" s="22"/>
      <c r="P36" s="20"/>
      <c r="Q36" s="20"/>
      <c r="R36" s="23"/>
      <c r="S36" s="22">
        <f t="shared" si="6"/>
        <v>0</v>
      </c>
      <c r="T36" s="20"/>
      <c r="U36" s="20"/>
      <c r="V36" s="25"/>
    </row>
    <row r="37" spans="1:22" x14ac:dyDescent="0.2">
      <c r="A37" s="83">
        <f t="shared" si="7"/>
        <v>29</v>
      </c>
      <c r="B37" s="18" t="s">
        <v>10</v>
      </c>
      <c r="C37" s="19">
        <f t="shared" si="3"/>
        <v>0</v>
      </c>
      <c r="D37" s="20">
        <f t="shared" si="3"/>
        <v>0</v>
      </c>
      <c r="E37" s="20">
        <f t="shared" si="3"/>
        <v>0</v>
      </c>
      <c r="F37" s="21"/>
      <c r="G37" s="22">
        <f t="shared" si="4"/>
        <v>0</v>
      </c>
      <c r="H37" s="20"/>
      <c r="I37" s="20"/>
      <c r="J37" s="25"/>
      <c r="K37" s="19">
        <f t="shared" si="5"/>
        <v>0</v>
      </c>
      <c r="L37" s="20"/>
      <c r="M37" s="20"/>
      <c r="N37" s="24"/>
      <c r="O37" s="22"/>
      <c r="P37" s="20"/>
      <c r="Q37" s="20"/>
      <c r="R37" s="23"/>
      <c r="S37" s="22">
        <f t="shared" si="6"/>
        <v>0</v>
      </c>
      <c r="T37" s="20"/>
      <c r="U37" s="20"/>
      <c r="V37" s="25"/>
    </row>
    <row r="38" spans="1:22" x14ac:dyDescent="0.2">
      <c r="A38" s="83">
        <f t="shared" si="7"/>
        <v>30</v>
      </c>
      <c r="B38" s="18" t="s">
        <v>11</v>
      </c>
      <c r="C38" s="19">
        <f t="shared" si="3"/>
        <v>0</v>
      </c>
      <c r="D38" s="20">
        <f t="shared" si="3"/>
        <v>0</v>
      </c>
      <c r="E38" s="20">
        <f t="shared" si="3"/>
        <v>0</v>
      </c>
      <c r="F38" s="21"/>
      <c r="G38" s="22">
        <f t="shared" si="4"/>
        <v>0</v>
      </c>
      <c r="H38" s="20"/>
      <c r="I38" s="20"/>
      <c r="J38" s="25"/>
      <c r="K38" s="19">
        <f t="shared" si="5"/>
        <v>0</v>
      </c>
      <c r="L38" s="20"/>
      <c r="M38" s="20"/>
      <c r="N38" s="24"/>
      <c r="O38" s="22"/>
      <c r="P38" s="20"/>
      <c r="Q38" s="20"/>
      <c r="R38" s="23"/>
      <c r="S38" s="22">
        <f t="shared" si="6"/>
        <v>0</v>
      </c>
      <c r="T38" s="20"/>
      <c r="U38" s="20"/>
      <c r="V38" s="25"/>
    </row>
    <row r="39" spans="1:22" x14ac:dyDescent="0.2">
      <c r="A39" s="83">
        <f t="shared" si="7"/>
        <v>31</v>
      </c>
      <c r="B39" s="18" t="s">
        <v>12</v>
      </c>
      <c r="C39" s="19">
        <f t="shared" si="3"/>
        <v>0</v>
      </c>
      <c r="D39" s="20">
        <f t="shared" si="3"/>
        <v>0</v>
      </c>
      <c r="E39" s="20">
        <f t="shared" si="3"/>
        <v>0</v>
      </c>
      <c r="F39" s="21"/>
      <c r="G39" s="22">
        <f t="shared" si="4"/>
        <v>0</v>
      </c>
      <c r="H39" s="20"/>
      <c r="I39" s="20"/>
      <c r="J39" s="23"/>
      <c r="K39" s="19">
        <f t="shared" si="5"/>
        <v>0</v>
      </c>
      <c r="L39" s="20"/>
      <c r="M39" s="20"/>
      <c r="N39" s="24"/>
      <c r="O39" s="22"/>
      <c r="P39" s="20"/>
      <c r="Q39" s="20"/>
      <c r="R39" s="23"/>
      <c r="S39" s="22">
        <f t="shared" si="6"/>
        <v>0</v>
      </c>
      <c r="T39" s="20"/>
      <c r="U39" s="20"/>
      <c r="V39" s="25"/>
    </row>
    <row r="40" spans="1:22" x14ac:dyDescent="0.2">
      <c r="A40" s="83">
        <f t="shared" si="7"/>
        <v>32</v>
      </c>
      <c r="B40" s="18" t="s">
        <v>13</v>
      </c>
      <c r="C40" s="19">
        <f t="shared" si="3"/>
        <v>0</v>
      </c>
      <c r="D40" s="20">
        <f t="shared" si="3"/>
        <v>0</v>
      </c>
      <c r="E40" s="20">
        <f t="shared" si="3"/>
        <v>0</v>
      </c>
      <c r="F40" s="21"/>
      <c r="G40" s="22">
        <f t="shared" si="4"/>
        <v>0</v>
      </c>
      <c r="H40" s="20"/>
      <c r="I40" s="20"/>
      <c r="J40" s="25"/>
      <c r="K40" s="19">
        <f t="shared" si="5"/>
        <v>0</v>
      </c>
      <c r="L40" s="20"/>
      <c r="M40" s="20"/>
      <c r="N40" s="24"/>
      <c r="O40" s="22"/>
      <c r="P40" s="20"/>
      <c r="Q40" s="20"/>
      <c r="R40" s="23"/>
      <c r="S40" s="22">
        <f t="shared" si="6"/>
        <v>0</v>
      </c>
      <c r="T40" s="20"/>
      <c r="U40" s="20"/>
      <c r="V40" s="25"/>
    </row>
    <row r="41" spans="1:22" x14ac:dyDescent="0.2">
      <c r="A41" s="83">
        <f t="shared" si="7"/>
        <v>33</v>
      </c>
      <c r="B41" s="18" t="s">
        <v>14</v>
      </c>
      <c r="C41" s="19">
        <f t="shared" si="3"/>
        <v>0</v>
      </c>
      <c r="D41" s="20">
        <f t="shared" si="3"/>
        <v>0</v>
      </c>
      <c r="E41" s="20">
        <f t="shared" si="3"/>
        <v>0</v>
      </c>
      <c r="F41" s="21"/>
      <c r="G41" s="22">
        <f t="shared" si="4"/>
        <v>0</v>
      </c>
      <c r="H41" s="20"/>
      <c r="I41" s="20"/>
      <c r="J41" s="25"/>
      <c r="K41" s="19">
        <f t="shared" si="5"/>
        <v>0</v>
      </c>
      <c r="L41" s="20"/>
      <c r="M41" s="20"/>
      <c r="N41" s="24"/>
      <c r="O41" s="22"/>
      <c r="P41" s="20"/>
      <c r="Q41" s="20"/>
      <c r="R41" s="23"/>
      <c r="S41" s="22">
        <f t="shared" si="6"/>
        <v>0</v>
      </c>
      <c r="T41" s="20"/>
      <c r="U41" s="20"/>
      <c r="V41" s="25"/>
    </row>
    <row r="42" spans="1:22" x14ac:dyDescent="0.2">
      <c r="A42" s="83">
        <f t="shared" si="7"/>
        <v>34</v>
      </c>
      <c r="B42" s="18" t="s">
        <v>28</v>
      </c>
      <c r="C42" s="19">
        <f t="shared" si="3"/>
        <v>0</v>
      </c>
      <c r="D42" s="20">
        <f t="shared" si="3"/>
        <v>0</v>
      </c>
      <c r="E42" s="20">
        <f t="shared" si="3"/>
        <v>0</v>
      </c>
      <c r="F42" s="21"/>
      <c r="G42" s="22">
        <f t="shared" si="4"/>
        <v>0</v>
      </c>
      <c r="H42" s="20"/>
      <c r="I42" s="20"/>
      <c r="J42" s="23"/>
      <c r="K42" s="19">
        <f t="shared" si="5"/>
        <v>0</v>
      </c>
      <c r="L42" s="20"/>
      <c r="M42" s="20"/>
      <c r="N42" s="24"/>
      <c r="O42" s="22"/>
      <c r="P42" s="20"/>
      <c r="Q42" s="20"/>
      <c r="R42" s="23"/>
      <c r="S42" s="22">
        <f t="shared" si="6"/>
        <v>0</v>
      </c>
      <c r="T42" s="20"/>
      <c r="U42" s="20"/>
      <c r="V42" s="25"/>
    </row>
    <row r="43" spans="1:22" ht="13.5" thickBot="1" x14ac:dyDescent="0.25">
      <c r="A43" s="98">
        <f t="shared" si="7"/>
        <v>35</v>
      </c>
      <c r="B43" s="48" t="s">
        <v>16</v>
      </c>
      <c r="C43" s="36">
        <f t="shared" si="3"/>
        <v>0</v>
      </c>
      <c r="D43" s="37">
        <f t="shared" si="3"/>
        <v>0</v>
      </c>
      <c r="E43" s="37">
        <f t="shared" si="3"/>
        <v>0</v>
      </c>
      <c r="F43" s="38"/>
      <c r="G43" s="50">
        <f t="shared" si="4"/>
        <v>0</v>
      </c>
      <c r="H43" s="49"/>
      <c r="I43" s="49"/>
      <c r="J43" s="51"/>
      <c r="K43" s="36">
        <f t="shared" si="5"/>
        <v>0</v>
      </c>
      <c r="L43" s="37"/>
      <c r="M43" s="37"/>
      <c r="N43" s="41"/>
      <c r="O43" s="50"/>
      <c r="P43" s="49"/>
      <c r="Q43" s="49"/>
      <c r="R43" s="52"/>
      <c r="S43" s="50">
        <f t="shared" si="6"/>
        <v>0</v>
      </c>
      <c r="T43" s="49"/>
      <c r="U43" s="49"/>
      <c r="V43" s="51"/>
    </row>
    <row r="44" spans="1:22" ht="30.75" thickBot="1" x14ac:dyDescent="0.3">
      <c r="A44" s="63">
        <v>36</v>
      </c>
      <c r="B44" s="64" t="s">
        <v>135</v>
      </c>
      <c r="C44" s="65">
        <f t="shared" si="3"/>
        <v>12628.068999999998</v>
      </c>
      <c r="D44" s="53">
        <f t="shared" si="3"/>
        <v>12616.249999999998</v>
      </c>
      <c r="E44" s="53">
        <f t="shared" si="3"/>
        <v>8198.4619999999977</v>
      </c>
      <c r="F44" s="58">
        <f>J44+N44+R44+V44</f>
        <v>11.819000000000001</v>
      </c>
      <c r="G44" s="66">
        <f>G45+SUM(G55:G85)+SUM(G86:G98)-G90</f>
        <v>5756.8810000000003</v>
      </c>
      <c r="H44" s="53">
        <f>H45+SUM(H55:H85)+SUM(H86:H98)-H90</f>
        <v>5747.0620000000008</v>
      </c>
      <c r="I44" s="53">
        <f>I45+SUM(I55:I85)+SUM(I86:I98)-I90</f>
        <v>3573.1329999999994</v>
      </c>
      <c r="J44" s="53">
        <f>J45+SUM(J55:J85)+SUM(J86:J98)</f>
        <v>9.8190000000000008</v>
      </c>
      <c r="K44" s="57">
        <f>K45+SUM(K55:K98)</f>
        <v>239.86199999999997</v>
      </c>
      <c r="L44" s="53">
        <f>L45+SUM(L55:L98)</f>
        <v>239.86199999999997</v>
      </c>
      <c r="M44" s="53">
        <f>M45+SUM(M55:M98)</f>
        <v>82.593000000000004</v>
      </c>
      <c r="N44" s="99"/>
      <c r="O44" s="100">
        <f>O45+SUM(O55:O98)</f>
        <v>6048.3999999999978</v>
      </c>
      <c r="P44" s="45">
        <f>P45+SUM(P55:P98)</f>
        <v>6048.3999999999978</v>
      </c>
      <c r="Q44" s="45">
        <f>Q45+SUM(Q55:Q98)</f>
        <v>4518.9329999999982</v>
      </c>
      <c r="R44" s="58"/>
      <c r="S44" s="57">
        <f>S45+SUM(S55:S98)</f>
        <v>582.92600000000004</v>
      </c>
      <c r="T44" s="53">
        <f>SUM(T55:T98)</f>
        <v>580.92600000000004</v>
      </c>
      <c r="U44" s="53">
        <f>SUM(U55:U98)</f>
        <v>23.803000000000004</v>
      </c>
      <c r="V44" s="58">
        <f>SUM(V55:V98)</f>
        <v>2</v>
      </c>
    </row>
    <row r="45" spans="1:22" x14ac:dyDescent="0.2">
      <c r="A45" s="68">
        <f>+A44+1</f>
        <v>37</v>
      </c>
      <c r="B45" s="82" t="s">
        <v>136</v>
      </c>
      <c r="C45" s="77">
        <f t="shared" si="3"/>
        <v>287.67100000000005</v>
      </c>
      <c r="D45" s="75">
        <f t="shared" si="3"/>
        <v>287.67100000000005</v>
      </c>
      <c r="E45" s="75">
        <f t="shared" si="3"/>
        <v>134.84699999999998</v>
      </c>
      <c r="F45" s="101"/>
      <c r="G45" s="102">
        <f>H45+J45</f>
        <v>169.44400000000002</v>
      </c>
      <c r="H45" s="103">
        <f>SUM(H46:H54)</f>
        <v>169.44400000000002</v>
      </c>
      <c r="I45" s="103">
        <f>SUM(I46:I53)</f>
        <v>123.249</v>
      </c>
      <c r="J45" s="104"/>
      <c r="K45" s="77">
        <f>+L45</f>
        <v>103.062</v>
      </c>
      <c r="L45" s="75">
        <f>SUM(L46:L54)</f>
        <v>103.062</v>
      </c>
      <c r="M45" s="75"/>
      <c r="N45" s="105"/>
      <c r="O45" s="102">
        <f>P45+R45</f>
        <v>15.164999999999999</v>
      </c>
      <c r="P45" s="103">
        <f>SUM(P46:P53)</f>
        <v>15.164999999999999</v>
      </c>
      <c r="Q45" s="106">
        <f>SUM(Q46:Q53)</f>
        <v>11.597999999999999</v>
      </c>
      <c r="R45" s="107"/>
      <c r="S45" s="108"/>
      <c r="T45" s="109"/>
      <c r="U45" s="109"/>
      <c r="V45" s="105"/>
    </row>
    <row r="46" spans="1:22" x14ac:dyDescent="0.2">
      <c r="A46" s="83">
        <v>38</v>
      </c>
      <c r="B46" s="33" t="s">
        <v>137</v>
      </c>
      <c r="C46" s="13">
        <f>D46+F46</f>
        <v>9</v>
      </c>
      <c r="D46" s="86">
        <f>G46+K46+O46+S46</f>
        <v>9</v>
      </c>
      <c r="E46" s="86">
        <f>I46+M46+Q46+U46</f>
        <v>6.8979999999999997</v>
      </c>
      <c r="F46" s="87"/>
      <c r="G46" s="88"/>
      <c r="H46" s="86"/>
      <c r="I46" s="86"/>
      <c r="J46" s="90"/>
      <c r="K46" s="88"/>
      <c r="L46" s="86"/>
      <c r="M46" s="86"/>
      <c r="N46" s="29"/>
      <c r="O46" s="13">
        <f>P46+R46</f>
        <v>9</v>
      </c>
      <c r="P46" s="86">
        <v>9</v>
      </c>
      <c r="Q46" s="86">
        <v>6.8979999999999997</v>
      </c>
      <c r="R46" s="90"/>
      <c r="S46" s="92"/>
      <c r="T46" s="86"/>
      <c r="U46" s="86"/>
      <c r="V46" s="110"/>
    </row>
    <row r="47" spans="1:22" x14ac:dyDescent="0.2">
      <c r="A47" s="83">
        <v>39</v>
      </c>
      <c r="B47" s="33" t="s">
        <v>138</v>
      </c>
      <c r="C47" s="13">
        <f t="shared" si="3"/>
        <v>103.062</v>
      </c>
      <c r="D47" s="86">
        <f t="shared" si="3"/>
        <v>103.062</v>
      </c>
      <c r="E47" s="86"/>
      <c r="F47" s="87"/>
      <c r="G47" s="88"/>
      <c r="H47" s="86"/>
      <c r="I47" s="86"/>
      <c r="J47" s="85"/>
      <c r="K47" s="13">
        <f>+L47</f>
        <v>103.062</v>
      </c>
      <c r="L47" s="86">
        <v>103.062</v>
      </c>
      <c r="M47" s="86"/>
      <c r="N47" s="85"/>
      <c r="O47" s="13"/>
      <c r="P47" s="86"/>
      <c r="Q47" s="86"/>
      <c r="R47" s="85"/>
      <c r="S47" s="92"/>
      <c r="T47" s="86"/>
      <c r="U47" s="86"/>
      <c r="V47" s="85"/>
    </row>
    <row r="48" spans="1:22" x14ac:dyDescent="0.2">
      <c r="A48" s="83">
        <v>40</v>
      </c>
      <c r="B48" s="33" t="s">
        <v>139</v>
      </c>
      <c r="C48" s="13">
        <f t="shared" si="3"/>
        <v>0</v>
      </c>
      <c r="D48" s="86">
        <f t="shared" si="3"/>
        <v>0</v>
      </c>
      <c r="E48" s="86"/>
      <c r="F48" s="87"/>
      <c r="G48" s="88">
        <f t="shared" ref="G48:G54" si="8">H48+J48</f>
        <v>0</v>
      </c>
      <c r="H48" s="86"/>
      <c r="I48" s="86"/>
      <c r="J48" s="85"/>
      <c r="K48" s="22"/>
      <c r="L48" s="86"/>
      <c r="M48" s="86"/>
      <c r="N48" s="85"/>
      <c r="O48" s="13"/>
      <c r="P48" s="86"/>
      <c r="Q48" s="86"/>
      <c r="R48" s="85"/>
      <c r="S48" s="92"/>
      <c r="T48" s="86"/>
      <c r="U48" s="86"/>
      <c r="V48" s="85"/>
    </row>
    <row r="49" spans="1:22" x14ac:dyDescent="0.2">
      <c r="A49" s="83">
        <v>41</v>
      </c>
      <c r="B49" s="32" t="s">
        <v>140</v>
      </c>
      <c r="C49" s="13">
        <f t="shared" si="3"/>
        <v>0</v>
      </c>
      <c r="D49" s="86">
        <f t="shared" si="3"/>
        <v>0</v>
      </c>
      <c r="E49" s="86"/>
      <c r="F49" s="87"/>
      <c r="G49" s="88">
        <f t="shared" si="8"/>
        <v>0</v>
      </c>
      <c r="H49" s="86"/>
      <c r="I49" s="86"/>
      <c r="J49" s="85"/>
      <c r="K49" s="88"/>
      <c r="L49" s="86"/>
      <c r="M49" s="86"/>
      <c r="N49" s="85"/>
      <c r="O49" s="13"/>
      <c r="P49" s="86"/>
      <c r="Q49" s="86"/>
      <c r="R49" s="85"/>
      <c r="S49" s="92"/>
      <c r="T49" s="86"/>
      <c r="U49" s="86"/>
      <c r="V49" s="85"/>
    </row>
    <row r="50" spans="1:22" x14ac:dyDescent="0.2">
      <c r="A50" s="83">
        <f>+A49+1</f>
        <v>42</v>
      </c>
      <c r="B50" s="111" t="s">
        <v>141</v>
      </c>
      <c r="C50" s="13">
        <f t="shared" si="3"/>
        <v>0</v>
      </c>
      <c r="D50" s="86">
        <f t="shared" si="3"/>
        <v>0</v>
      </c>
      <c r="E50" s="86"/>
      <c r="F50" s="87"/>
      <c r="G50" s="88">
        <f t="shared" si="8"/>
        <v>0</v>
      </c>
      <c r="H50" s="86"/>
      <c r="I50" s="86"/>
      <c r="J50" s="85"/>
      <c r="K50" s="88"/>
      <c r="L50" s="86"/>
      <c r="M50" s="86"/>
      <c r="N50" s="85"/>
      <c r="O50" s="22"/>
      <c r="P50" s="86"/>
      <c r="Q50" s="86"/>
      <c r="R50" s="85"/>
      <c r="S50" s="92"/>
      <c r="T50" s="86"/>
      <c r="U50" s="86"/>
      <c r="V50" s="85"/>
    </row>
    <row r="51" spans="1:22" x14ac:dyDescent="0.2">
      <c r="A51" s="83">
        <v>43</v>
      </c>
      <c r="B51" s="33" t="s">
        <v>142</v>
      </c>
      <c r="C51" s="13">
        <f t="shared" si="3"/>
        <v>0</v>
      </c>
      <c r="D51" s="86">
        <f t="shared" si="3"/>
        <v>0</v>
      </c>
      <c r="E51" s="86"/>
      <c r="F51" s="87"/>
      <c r="G51" s="88">
        <f t="shared" si="8"/>
        <v>0</v>
      </c>
      <c r="H51" s="86"/>
      <c r="I51" s="86"/>
      <c r="J51" s="85"/>
      <c r="K51" s="88"/>
      <c r="L51" s="86"/>
      <c r="M51" s="86"/>
      <c r="N51" s="85"/>
      <c r="O51" s="22"/>
      <c r="P51" s="86"/>
      <c r="Q51" s="86"/>
      <c r="R51" s="85"/>
      <c r="S51" s="92"/>
      <c r="T51" s="86"/>
      <c r="U51" s="86"/>
      <c r="V51" s="85"/>
    </row>
    <row r="52" spans="1:22" x14ac:dyDescent="0.2">
      <c r="A52" s="83">
        <v>44</v>
      </c>
      <c r="B52" s="33" t="s">
        <v>143</v>
      </c>
      <c r="C52" s="13">
        <f t="shared" si="3"/>
        <v>155.13</v>
      </c>
      <c r="D52" s="86">
        <f t="shared" si="3"/>
        <v>155.13</v>
      </c>
      <c r="E52" s="16">
        <f>I52+M52+Q52+U52</f>
        <v>114.852</v>
      </c>
      <c r="F52" s="21"/>
      <c r="G52" s="88">
        <f t="shared" si="8"/>
        <v>148.965</v>
      </c>
      <c r="H52" s="86">
        <v>148.965</v>
      </c>
      <c r="I52" s="86">
        <v>110.152</v>
      </c>
      <c r="J52" s="85"/>
      <c r="K52" s="88"/>
      <c r="L52" s="86"/>
      <c r="M52" s="86"/>
      <c r="N52" s="85"/>
      <c r="O52" s="13">
        <f>P52+R52</f>
        <v>6.165</v>
      </c>
      <c r="P52" s="86">
        <v>6.165</v>
      </c>
      <c r="Q52" s="86">
        <v>4.7</v>
      </c>
      <c r="R52" s="85"/>
      <c r="S52" s="92"/>
      <c r="T52" s="86"/>
      <c r="U52" s="86"/>
      <c r="V52" s="85"/>
    </row>
    <row r="53" spans="1:22" x14ac:dyDescent="0.2">
      <c r="A53" s="83">
        <v>45</v>
      </c>
      <c r="B53" s="33" t="s">
        <v>144</v>
      </c>
      <c r="C53" s="13">
        <f t="shared" si="3"/>
        <v>20.478999999999999</v>
      </c>
      <c r="D53" s="86">
        <f t="shared" si="3"/>
        <v>20.478999999999999</v>
      </c>
      <c r="E53" s="16">
        <f>I53+M53+Q53+U53</f>
        <v>13.097</v>
      </c>
      <c r="F53" s="21"/>
      <c r="G53" s="88">
        <f t="shared" si="8"/>
        <v>20.478999999999999</v>
      </c>
      <c r="H53" s="86">
        <v>20.478999999999999</v>
      </c>
      <c r="I53" s="86">
        <v>13.097</v>
      </c>
      <c r="J53" s="85"/>
      <c r="K53" s="88"/>
      <c r="L53" s="86"/>
      <c r="M53" s="86"/>
      <c r="N53" s="85"/>
      <c r="O53" s="22"/>
      <c r="P53" s="86"/>
      <c r="Q53" s="86"/>
      <c r="R53" s="85"/>
      <c r="S53" s="92"/>
      <c r="T53" s="86"/>
      <c r="U53" s="86"/>
      <c r="V53" s="85"/>
    </row>
    <row r="54" spans="1:22" ht="25.5" x14ac:dyDescent="0.2">
      <c r="A54" s="83">
        <v>46</v>
      </c>
      <c r="B54" s="96" t="s">
        <v>145</v>
      </c>
      <c r="C54" s="13">
        <f t="shared" si="3"/>
        <v>0</v>
      </c>
      <c r="D54" s="86">
        <f t="shared" si="3"/>
        <v>0</v>
      </c>
      <c r="E54" s="20"/>
      <c r="F54" s="21"/>
      <c r="G54" s="88">
        <f t="shared" si="8"/>
        <v>0</v>
      </c>
      <c r="H54" s="86"/>
      <c r="I54" s="86"/>
      <c r="J54" s="85"/>
      <c r="K54" s="88"/>
      <c r="L54" s="86"/>
      <c r="M54" s="86"/>
      <c r="N54" s="85"/>
      <c r="O54" s="22"/>
      <c r="P54" s="86"/>
      <c r="Q54" s="86"/>
      <c r="R54" s="85"/>
      <c r="S54" s="92"/>
      <c r="T54" s="86"/>
      <c r="U54" s="86"/>
      <c r="V54" s="85"/>
    </row>
    <row r="55" spans="1:22" x14ac:dyDescent="0.2">
      <c r="A55" s="83">
        <v>47</v>
      </c>
      <c r="B55" s="18" t="s">
        <v>29</v>
      </c>
      <c r="C55" s="22">
        <f t="shared" ref="C55:E60" si="9">+G55+K55+O55+S55</f>
        <v>365.226</v>
      </c>
      <c r="D55" s="20">
        <f t="shared" si="9"/>
        <v>365.226</v>
      </c>
      <c r="E55" s="20">
        <f t="shared" si="9"/>
        <v>238.83999999999997</v>
      </c>
      <c r="F55" s="21"/>
      <c r="G55" s="22">
        <f t="shared" ref="G55:G60" si="10">+H55</f>
        <v>234.202</v>
      </c>
      <c r="H55" s="20">
        <v>234.202</v>
      </c>
      <c r="I55" s="26">
        <v>159.52799999999999</v>
      </c>
      <c r="J55" s="85"/>
      <c r="K55" s="88"/>
      <c r="L55" s="86"/>
      <c r="M55" s="86"/>
      <c r="N55" s="85"/>
      <c r="O55" s="22">
        <f t="shared" ref="O55:O89" si="11">+P55</f>
        <v>107.324</v>
      </c>
      <c r="P55" s="20">
        <v>107.324</v>
      </c>
      <c r="Q55" s="20">
        <v>79.311999999999998</v>
      </c>
      <c r="R55" s="23"/>
      <c r="S55" s="19">
        <f t="shared" ref="S55:S80" si="12">+T55</f>
        <v>23.7</v>
      </c>
      <c r="T55" s="20">
        <v>23.7</v>
      </c>
      <c r="U55" s="20"/>
      <c r="V55" s="23"/>
    </row>
    <row r="56" spans="1:22" x14ac:dyDescent="0.2">
      <c r="A56" s="83">
        <f t="shared" ref="A56:A62" si="13">+A55+1</f>
        <v>48</v>
      </c>
      <c r="B56" s="18" t="s">
        <v>30</v>
      </c>
      <c r="C56" s="22">
        <f t="shared" si="9"/>
        <v>615.23500000000013</v>
      </c>
      <c r="D56" s="20">
        <f t="shared" si="9"/>
        <v>615.23500000000013</v>
      </c>
      <c r="E56" s="20">
        <f t="shared" si="9"/>
        <v>395.31299999999999</v>
      </c>
      <c r="F56" s="21"/>
      <c r="G56" s="22">
        <f t="shared" si="10"/>
        <v>410.77100000000002</v>
      </c>
      <c r="H56" s="20">
        <v>410.77100000000002</v>
      </c>
      <c r="I56" s="26">
        <v>281.18</v>
      </c>
      <c r="J56" s="85"/>
      <c r="K56" s="88"/>
      <c r="L56" s="86"/>
      <c r="M56" s="86"/>
      <c r="N56" s="85"/>
      <c r="O56" s="22">
        <f t="shared" si="11"/>
        <v>154.524</v>
      </c>
      <c r="P56" s="20">
        <v>154.524</v>
      </c>
      <c r="Q56" s="20">
        <v>114.133</v>
      </c>
      <c r="R56" s="23"/>
      <c r="S56" s="19">
        <f t="shared" si="12"/>
        <v>49.94</v>
      </c>
      <c r="T56" s="20">
        <v>49.94</v>
      </c>
      <c r="U56" s="20"/>
      <c r="V56" s="23"/>
    </row>
    <row r="57" spans="1:22" x14ac:dyDescent="0.2">
      <c r="A57" s="83">
        <f t="shared" si="13"/>
        <v>49</v>
      </c>
      <c r="B57" s="18" t="s">
        <v>17</v>
      </c>
      <c r="C57" s="22">
        <f t="shared" si="9"/>
        <v>250.35600000000002</v>
      </c>
      <c r="D57" s="20">
        <f t="shared" si="9"/>
        <v>250.35600000000002</v>
      </c>
      <c r="E57" s="20">
        <f t="shared" si="9"/>
        <v>149.86500000000001</v>
      </c>
      <c r="F57" s="21"/>
      <c r="G57" s="22">
        <f t="shared" si="10"/>
        <v>161.22800000000001</v>
      </c>
      <c r="H57" s="20">
        <v>161.22800000000001</v>
      </c>
      <c r="I57" s="26">
        <v>92.748000000000005</v>
      </c>
      <c r="J57" s="85"/>
      <c r="K57" s="88"/>
      <c r="L57" s="86"/>
      <c r="M57" s="86"/>
      <c r="N57" s="85"/>
      <c r="O57" s="22">
        <f t="shared" si="11"/>
        <v>77.254000000000005</v>
      </c>
      <c r="P57" s="20">
        <v>77.254000000000005</v>
      </c>
      <c r="Q57" s="20">
        <v>57.116999999999997</v>
      </c>
      <c r="R57" s="23"/>
      <c r="S57" s="19">
        <f t="shared" si="12"/>
        <v>11.874000000000001</v>
      </c>
      <c r="T57" s="20">
        <v>11.874000000000001</v>
      </c>
      <c r="U57" s="20"/>
      <c r="V57" s="23"/>
    </row>
    <row r="58" spans="1:22" x14ac:dyDescent="0.2">
      <c r="A58" s="83">
        <f t="shared" si="13"/>
        <v>50</v>
      </c>
      <c r="B58" s="18" t="s">
        <v>95</v>
      </c>
      <c r="C58" s="22">
        <f t="shared" si="9"/>
        <v>507.96699999999998</v>
      </c>
      <c r="D58" s="20">
        <f t="shared" si="9"/>
        <v>507.96699999999998</v>
      </c>
      <c r="E58" s="20">
        <f t="shared" si="9"/>
        <v>311.05700000000002</v>
      </c>
      <c r="F58" s="21"/>
      <c r="G58" s="22">
        <f t="shared" si="10"/>
        <v>251.68199999999999</v>
      </c>
      <c r="H58" s="20">
        <v>251.68199999999999</v>
      </c>
      <c r="I58" s="20">
        <v>160.03700000000001</v>
      </c>
      <c r="J58" s="85"/>
      <c r="K58" s="88"/>
      <c r="L58" s="86"/>
      <c r="M58" s="86"/>
      <c r="N58" s="85"/>
      <c r="O58" s="22">
        <f t="shared" si="11"/>
        <v>204.285</v>
      </c>
      <c r="P58" s="20">
        <v>204.285</v>
      </c>
      <c r="Q58" s="20">
        <v>151.02000000000001</v>
      </c>
      <c r="R58" s="23"/>
      <c r="S58" s="19">
        <f t="shared" si="12"/>
        <v>52</v>
      </c>
      <c r="T58" s="20">
        <v>52</v>
      </c>
      <c r="U58" s="20"/>
      <c r="V58" s="23"/>
    </row>
    <row r="59" spans="1:22" x14ac:dyDescent="0.2">
      <c r="A59" s="83">
        <f t="shared" si="13"/>
        <v>51</v>
      </c>
      <c r="B59" s="18" t="s">
        <v>96</v>
      </c>
      <c r="C59" s="22">
        <f t="shared" si="9"/>
        <v>187.17400000000001</v>
      </c>
      <c r="D59" s="20">
        <f t="shared" si="9"/>
        <v>187.17400000000001</v>
      </c>
      <c r="E59" s="20">
        <f t="shared" si="9"/>
        <v>118.002</v>
      </c>
      <c r="F59" s="21"/>
      <c r="G59" s="22">
        <f t="shared" si="10"/>
        <v>125.989</v>
      </c>
      <c r="H59" s="20">
        <v>125.989</v>
      </c>
      <c r="I59" s="20">
        <v>80.013999999999996</v>
      </c>
      <c r="J59" s="85"/>
      <c r="K59" s="88"/>
      <c r="L59" s="86"/>
      <c r="M59" s="86"/>
      <c r="N59" s="85"/>
      <c r="O59" s="22">
        <f t="shared" si="11"/>
        <v>51.384999999999998</v>
      </c>
      <c r="P59" s="20">
        <v>51.384999999999998</v>
      </c>
      <c r="Q59" s="20">
        <v>37.988</v>
      </c>
      <c r="R59" s="23"/>
      <c r="S59" s="19">
        <f t="shared" si="12"/>
        <v>9.8000000000000007</v>
      </c>
      <c r="T59" s="20">
        <v>9.8000000000000007</v>
      </c>
      <c r="U59" s="20"/>
      <c r="V59" s="23"/>
    </row>
    <row r="60" spans="1:22" x14ac:dyDescent="0.2">
      <c r="A60" s="83">
        <f t="shared" si="13"/>
        <v>52</v>
      </c>
      <c r="B60" s="18" t="s">
        <v>97</v>
      </c>
      <c r="C60" s="22">
        <f t="shared" si="9"/>
        <v>217.50700000000001</v>
      </c>
      <c r="D60" s="20">
        <f t="shared" si="9"/>
        <v>217.50700000000001</v>
      </c>
      <c r="E60" s="20">
        <f t="shared" si="9"/>
        <v>153.99099999999999</v>
      </c>
      <c r="F60" s="21"/>
      <c r="G60" s="22">
        <f t="shared" si="10"/>
        <v>105.001</v>
      </c>
      <c r="H60" s="20">
        <v>105.001</v>
      </c>
      <c r="I60" s="20">
        <v>76.888999999999996</v>
      </c>
      <c r="J60" s="85"/>
      <c r="K60" s="88"/>
      <c r="L60" s="86"/>
      <c r="M60" s="86"/>
      <c r="N60" s="85"/>
      <c r="O60" s="22">
        <f t="shared" si="11"/>
        <v>103.206</v>
      </c>
      <c r="P60" s="20">
        <v>103.206</v>
      </c>
      <c r="Q60" s="20">
        <v>77.102000000000004</v>
      </c>
      <c r="R60" s="23"/>
      <c r="S60" s="19">
        <f t="shared" si="12"/>
        <v>9.3000000000000007</v>
      </c>
      <c r="T60" s="20">
        <v>9.3000000000000007</v>
      </c>
      <c r="U60" s="20"/>
      <c r="V60" s="23"/>
    </row>
    <row r="61" spans="1:22" x14ac:dyDescent="0.2">
      <c r="A61" s="83">
        <f t="shared" si="13"/>
        <v>53</v>
      </c>
      <c r="B61" s="47" t="s">
        <v>98</v>
      </c>
      <c r="C61" s="22">
        <f t="shared" ref="C61:E62" si="14">G61+K61+O61+S61</f>
        <v>99.957999999999998</v>
      </c>
      <c r="D61" s="20">
        <f t="shared" si="14"/>
        <v>99.957999999999998</v>
      </c>
      <c r="E61" s="20">
        <f t="shared" si="14"/>
        <v>73.231000000000009</v>
      </c>
      <c r="F61" s="21"/>
      <c r="G61" s="22">
        <f>H61+J61</f>
        <v>12.282999999999999</v>
      </c>
      <c r="H61" s="20">
        <v>12.282999999999999</v>
      </c>
      <c r="I61" s="20">
        <v>8.3070000000000004</v>
      </c>
      <c r="J61" s="85"/>
      <c r="K61" s="88"/>
      <c r="L61" s="86"/>
      <c r="M61" s="86"/>
      <c r="N61" s="85"/>
      <c r="O61" s="22">
        <f t="shared" si="11"/>
        <v>87.674999999999997</v>
      </c>
      <c r="P61" s="20">
        <v>87.674999999999997</v>
      </c>
      <c r="Q61" s="20">
        <v>64.924000000000007</v>
      </c>
      <c r="R61" s="23"/>
      <c r="S61" s="19"/>
      <c r="T61" s="20"/>
      <c r="U61" s="20"/>
      <c r="V61" s="23"/>
    </row>
    <row r="62" spans="1:22" x14ac:dyDescent="0.2">
      <c r="A62" s="83">
        <f t="shared" si="13"/>
        <v>54</v>
      </c>
      <c r="B62" s="46" t="s">
        <v>146</v>
      </c>
      <c r="C62" s="22">
        <f t="shared" si="14"/>
        <v>77.878</v>
      </c>
      <c r="D62" s="20">
        <f t="shared" si="14"/>
        <v>77.878</v>
      </c>
      <c r="E62" s="20">
        <f t="shared" si="14"/>
        <v>56.347000000000001</v>
      </c>
      <c r="F62" s="21"/>
      <c r="G62" s="22">
        <f>H62+J62</f>
        <v>38.540999999999997</v>
      </c>
      <c r="H62" s="20">
        <v>38.540999999999997</v>
      </c>
      <c r="I62" s="20">
        <v>26.817</v>
      </c>
      <c r="J62" s="23"/>
      <c r="K62" s="22"/>
      <c r="L62" s="20"/>
      <c r="M62" s="20"/>
      <c r="N62" s="23"/>
      <c r="O62" s="22">
        <f t="shared" si="11"/>
        <v>39.337000000000003</v>
      </c>
      <c r="P62" s="20">
        <v>39.337000000000003</v>
      </c>
      <c r="Q62" s="20">
        <v>29.53</v>
      </c>
      <c r="R62" s="23"/>
      <c r="S62" s="19"/>
      <c r="T62" s="20"/>
      <c r="U62" s="20"/>
      <c r="V62" s="23"/>
    </row>
    <row r="63" spans="1:22" x14ac:dyDescent="0.2">
      <c r="A63" s="83">
        <v>55</v>
      </c>
      <c r="B63" s="18" t="s">
        <v>37</v>
      </c>
      <c r="C63" s="22">
        <f t="shared" ref="C63:F73" si="15">+G63+K63+O63+S63</f>
        <v>624.67700000000002</v>
      </c>
      <c r="D63" s="20">
        <f t="shared" si="15"/>
        <v>624.67700000000002</v>
      </c>
      <c r="E63" s="20">
        <f t="shared" si="15"/>
        <v>400.18200000000002</v>
      </c>
      <c r="F63" s="21"/>
      <c r="G63" s="22">
        <f>+H63+J63</f>
        <v>389.04599999999999</v>
      </c>
      <c r="H63" s="20">
        <v>389.04599999999999</v>
      </c>
      <c r="I63" s="20">
        <v>262.05900000000003</v>
      </c>
      <c r="J63" s="23"/>
      <c r="K63" s="88"/>
      <c r="L63" s="86"/>
      <c r="M63" s="86"/>
      <c r="N63" s="85"/>
      <c r="O63" s="22">
        <f t="shared" si="11"/>
        <v>186.53100000000001</v>
      </c>
      <c r="P63" s="20">
        <v>186.53100000000001</v>
      </c>
      <c r="Q63" s="20">
        <v>138.12299999999999</v>
      </c>
      <c r="R63" s="23"/>
      <c r="S63" s="19">
        <f t="shared" si="12"/>
        <v>49.1</v>
      </c>
      <c r="T63" s="20">
        <v>49.1</v>
      </c>
      <c r="U63" s="20"/>
      <c r="V63" s="23"/>
    </row>
    <row r="64" spans="1:22" x14ac:dyDescent="0.2">
      <c r="A64" s="83">
        <f>+A63+1</f>
        <v>56</v>
      </c>
      <c r="B64" s="18" t="s">
        <v>18</v>
      </c>
      <c r="C64" s="22">
        <f t="shared" si="15"/>
        <v>603.21199999999999</v>
      </c>
      <c r="D64" s="20">
        <f t="shared" si="15"/>
        <v>603.21199999999999</v>
      </c>
      <c r="E64" s="20">
        <f t="shared" si="15"/>
        <v>415.82900000000001</v>
      </c>
      <c r="F64" s="21"/>
      <c r="G64" s="22">
        <f t="shared" ref="G64:G71" si="16">+H64</f>
        <v>157.303</v>
      </c>
      <c r="H64" s="20">
        <v>157.303</v>
      </c>
      <c r="I64" s="20">
        <v>96.394000000000005</v>
      </c>
      <c r="J64" s="23"/>
      <c r="K64" s="22"/>
      <c r="L64" s="20"/>
      <c r="M64" s="20"/>
      <c r="N64" s="23"/>
      <c r="O64" s="22">
        <f t="shared" si="11"/>
        <v>429.40899999999999</v>
      </c>
      <c r="P64" s="20">
        <v>429.40899999999999</v>
      </c>
      <c r="Q64" s="20">
        <v>319.435</v>
      </c>
      <c r="R64" s="23"/>
      <c r="S64" s="19">
        <f>+T64+V64</f>
        <v>16.5</v>
      </c>
      <c r="T64" s="20">
        <v>16.5</v>
      </c>
      <c r="U64" s="20"/>
      <c r="V64" s="23"/>
    </row>
    <row r="65" spans="1:22" x14ac:dyDescent="0.2">
      <c r="A65" s="83">
        <f>+A64+1</f>
        <v>57</v>
      </c>
      <c r="B65" s="18" t="s">
        <v>99</v>
      </c>
      <c r="C65" s="22">
        <f t="shared" si="15"/>
        <v>111.27</v>
      </c>
      <c r="D65" s="20">
        <f t="shared" si="15"/>
        <v>111.27</v>
      </c>
      <c r="E65" s="20">
        <f t="shared" si="15"/>
        <v>76.388999999999996</v>
      </c>
      <c r="F65" s="21"/>
      <c r="G65" s="22">
        <f t="shared" si="16"/>
        <v>44.99</v>
      </c>
      <c r="H65" s="20">
        <v>44.99</v>
      </c>
      <c r="I65" s="20">
        <v>32.421999999999997</v>
      </c>
      <c r="J65" s="85"/>
      <c r="K65" s="22"/>
      <c r="L65" s="86"/>
      <c r="M65" s="86"/>
      <c r="N65" s="85"/>
      <c r="O65" s="22">
        <f t="shared" si="11"/>
        <v>58.98</v>
      </c>
      <c r="P65" s="20">
        <v>58.98</v>
      </c>
      <c r="Q65" s="20">
        <v>43.966999999999999</v>
      </c>
      <c r="R65" s="23"/>
      <c r="S65" s="19">
        <f t="shared" si="12"/>
        <v>7.3</v>
      </c>
      <c r="T65" s="20">
        <v>7.3</v>
      </c>
      <c r="U65" s="20"/>
      <c r="V65" s="23"/>
    </row>
    <row r="66" spans="1:22" x14ac:dyDescent="0.2">
      <c r="A66" s="83">
        <v>58</v>
      </c>
      <c r="B66" s="18" t="s">
        <v>31</v>
      </c>
      <c r="C66" s="22">
        <f t="shared" si="15"/>
        <v>269.07600000000002</v>
      </c>
      <c r="D66" s="20">
        <f t="shared" si="15"/>
        <v>269.07600000000002</v>
      </c>
      <c r="E66" s="20">
        <f t="shared" si="15"/>
        <v>176.86699999999999</v>
      </c>
      <c r="F66" s="21"/>
      <c r="G66" s="22">
        <f t="shared" si="16"/>
        <v>150.792</v>
      </c>
      <c r="H66" s="20">
        <v>150.792</v>
      </c>
      <c r="I66" s="20">
        <v>95.168999999999997</v>
      </c>
      <c r="J66" s="85"/>
      <c r="K66" s="88"/>
      <c r="L66" s="86"/>
      <c r="M66" s="86"/>
      <c r="N66" s="85"/>
      <c r="O66" s="22">
        <f t="shared" si="11"/>
        <v>108.28400000000001</v>
      </c>
      <c r="P66" s="20">
        <v>108.28400000000001</v>
      </c>
      <c r="Q66" s="20">
        <v>81.697999999999993</v>
      </c>
      <c r="R66" s="23"/>
      <c r="S66" s="19">
        <f t="shared" si="12"/>
        <v>10</v>
      </c>
      <c r="T66" s="20">
        <v>10</v>
      </c>
      <c r="U66" s="20"/>
      <c r="V66" s="23"/>
    </row>
    <row r="67" spans="1:22" x14ac:dyDescent="0.2">
      <c r="A67" s="83">
        <f>+A66+1</f>
        <v>59</v>
      </c>
      <c r="B67" s="18" t="s">
        <v>38</v>
      </c>
      <c r="C67" s="22">
        <f t="shared" si="15"/>
        <v>225.73699999999999</v>
      </c>
      <c r="D67" s="20">
        <f t="shared" si="15"/>
        <v>222.73699999999999</v>
      </c>
      <c r="E67" s="20">
        <f t="shared" si="15"/>
        <v>164.20500000000001</v>
      </c>
      <c r="F67" s="21">
        <f t="shared" si="15"/>
        <v>3</v>
      </c>
      <c r="G67" s="22">
        <f>+H67+J67</f>
        <v>32.887</v>
      </c>
      <c r="H67" s="20">
        <v>29.887</v>
      </c>
      <c r="I67" s="20">
        <v>21.202999999999999</v>
      </c>
      <c r="J67" s="23">
        <v>3</v>
      </c>
      <c r="K67" s="88"/>
      <c r="L67" s="86"/>
      <c r="M67" s="86"/>
      <c r="N67" s="85"/>
      <c r="O67" s="22">
        <f t="shared" si="11"/>
        <v>188.85</v>
      </c>
      <c r="P67" s="20">
        <v>188.85</v>
      </c>
      <c r="Q67" s="20">
        <v>141.00200000000001</v>
      </c>
      <c r="R67" s="23"/>
      <c r="S67" s="19">
        <f t="shared" si="12"/>
        <v>4</v>
      </c>
      <c r="T67" s="20">
        <v>4</v>
      </c>
      <c r="U67" s="20">
        <v>2</v>
      </c>
      <c r="V67" s="23"/>
    </row>
    <row r="68" spans="1:22" x14ac:dyDescent="0.2">
      <c r="A68" s="83">
        <v>60</v>
      </c>
      <c r="B68" s="18" t="s">
        <v>100</v>
      </c>
      <c r="C68" s="22">
        <f t="shared" si="15"/>
        <v>10.870999999999999</v>
      </c>
      <c r="D68" s="20">
        <f t="shared" si="15"/>
        <v>10.870999999999999</v>
      </c>
      <c r="E68" s="20">
        <f t="shared" si="15"/>
        <v>7.4240000000000004</v>
      </c>
      <c r="F68" s="21"/>
      <c r="G68" s="22"/>
      <c r="H68" s="20"/>
      <c r="I68" s="20"/>
      <c r="J68" s="85"/>
      <c r="K68" s="22">
        <f>+L68</f>
        <v>0.7</v>
      </c>
      <c r="L68" s="20">
        <v>0.7</v>
      </c>
      <c r="M68" s="86"/>
      <c r="N68" s="85"/>
      <c r="O68" s="22">
        <f t="shared" si="11"/>
        <v>10.170999999999999</v>
      </c>
      <c r="P68" s="20">
        <v>10.170999999999999</v>
      </c>
      <c r="Q68" s="20">
        <v>7.4240000000000004</v>
      </c>
      <c r="R68" s="23"/>
      <c r="S68" s="19"/>
      <c r="T68" s="20"/>
      <c r="U68" s="20"/>
      <c r="V68" s="23"/>
    </row>
    <row r="69" spans="1:22" x14ac:dyDescent="0.2">
      <c r="A69" s="83">
        <v>61</v>
      </c>
      <c r="B69" s="18" t="s">
        <v>101</v>
      </c>
      <c r="C69" s="22">
        <f t="shared" si="15"/>
        <v>330.24099999999999</v>
      </c>
      <c r="D69" s="20">
        <f t="shared" si="15"/>
        <v>330.24099999999999</v>
      </c>
      <c r="E69" s="20">
        <f t="shared" si="15"/>
        <v>215.035</v>
      </c>
      <c r="F69" s="21"/>
      <c r="G69" s="22">
        <f t="shared" si="16"/>
        <v>179.85300000000001</v>
      </c>
      <c r="H69" s="20">
        <v>179.85300000000001</v>
      </c>
      <c r="I69" s="20">
        <v>112.714</v>
      </c>
      <c r="J69" s="85"/>
      <c r="K69" s="88"/>
      <c r="L69" s="86"/>
      <c r="M69" s="86"/>
      <c r="N69" s="85"/>
      <c r="O69" s="22">
        <f t="shared" si="11"/>
        <v>135.88800000000001</v>
      </c>
      <c r="P69" s="20">
        <v>135.88800000000001</v>
      </c>
      <c r="Q69" s="20">
        <v>102.321</v>
      </c>
      <c r="R69" s="23"/>
      <c r="S69" s="19">
        <f t="shared" si="12"/>
        <v>14.5</v>
      </c>
      <c r="T69" s="20">
        <v>14.5</v>
      </c>
      <c r="U69" s="20"/>
      <c r="V69" s="23"/>
    </row>
    <row r="70" spans="1:22" x14ac:dyDescent="0.2">
      <c r="A70" s="83">
        <v>62</v>
      </c>
      <c r="B70" s="18" t="s">
        <v>19</v>
      </c>
      <c r="C70" s="22">
        <f t="shared" si="15"/>
        <v>1724.7089999999998</v>
      </c>
      <c r="D70" s="20">
        <f t="shared" si="15"/>
        <v>1723.7089999999998</v>
      </c>
      <c r="E70" s="20">
        <f t="shared" si="15"/>
        <v>1117.961</v>
      </c>
      <c r="F70" s="21">
        <f t="shared" si="15"/>
        <v>1</v>
      </c>
      <c r="G70" s="22">
        <f t="shared" si="16"/>
        <v>657.93399999999997</v>
      </c>
      <c r="H70" s="20">
        <v>657.93399999999997</v>
      </c>
      <c r="I70" s="20">
        <v>375.584</v>
      </c>
      <c r="J70" s="85"/>
      <c r="K70" s="88"/>
      <c r="L70" s="86"/>
      <c r="M70" s="86"/>
      <c r="N70" s="85"/>
      <c r="O70" s="22">
        <f>P70+R70</f>
        <v>991.77499999999998</v>
      </c>
      <c r="P70" s="20">
        <v>991.77499999999998</v>
      </c>
      <c r="Q70" s="20">
        <v>742.37699999999995</v>
      </c>
      <c r="R70" s="23"/>
      <c r="S70" s="19">
        <f>+T70+V70</f>
        <v>75</v>
      </c>
      <c r="T70" s="20">
        <v>74</v>
      </c>
      <c r="U70" s="20"/>
      <c r="V70" s="23">
        <v>1</v>
      </c>
    </row>
    <row r="71" spans="1:22" x14ac:dyDescent="0.2">
      <c r="A71" s="83">
        <v>63</v>
      </c>
      <c r="B71" s="18" t="s">
        <v>147</v>
      </c>
      <c r="C71" s="22">
        <f t="shared" si="15"/>
        <v>100.68600000000001</v>
      </c>
      <c r="D71" s="20">
        <f t="shared" si="15"/>
        <v>99.686000000000007</v>
      </c>
      <c r="E71" s="20">
        <f t="shared" si="15"/>
        <v>55.722000000000001</v>
      </c>
      <c r="F71" s="21">
        <f t="shared" si="15"/>
        <v>1</v>
      </c>
      <c r="G71" s="22">
        <f t="shared" si="16"/>
        <v>90.686000000000007</v>
      </c>
      <c r="H71" s="20">
        <v>90.686000000000007</v>
      </c>
      <c r="I71" s="20">
        <v>55.722000000000001</v>
      </c>
      <c r="J71" s="23"/>
      <c r="K71" s="22"/>
      <c r="L71" s="20"/>
      <c r="M71" s="20"/>
      <c r="N71" s="23"/>
      <c r="O71" s="22"/>
      <c r="P71" s="20"/>
      <c r="Q71" s="20"/>
      <c r="R71" s="23"/>
      <c r="S71" s="19">
        <f>+T71+V71</f>
        <v>10</v>
      </c>
      <c r="T71" s="20">
        <v>9</v>
      </c>
      <c r="U71" s="20"/>
      <c r="V71" s="23">
        <v>1</v>
      </c>
    </row>
    <row r="72" spans="1:22" x14ac:dyDescent="0.2">
      <c r="A72" s="83">
        <v>64</v>
      </c>
      <c r="B72" s="18" t="s">
        <v>102</v>
      </c>
      <c r="C72" s="22">
        <f t="shared" si="15"/>
        <v>1181.079</v>
      </c>
      <c r="D72" s="20">
        <f t="shared" si="15"/>
        <v>1175.3890000000001</v>
      </c>
      <c r="E72" s="20">
        <f t="shared" si="15"/>
        <v>807.976</v>
      </c>
      <c r="F72" s="20">
        <f t="shared" si="15"/>
        <v>5.69</v>
      </c>
      <c r="G72" s="22">
        <f>+H72+J72</f>
        <v>302.45499999999998</v>
      </c>
      <c r="H72" s="20">
        <v>296.76499999999999</v>
      </c>
      <c r="I72" s="20">
        <v>183.374</v>
      </c>
      <c r="J72" s="23">
        <v>5.69</v>
      </c>
      <c r="K72" s="88"/>
      <c r="L72" s="86"/>
      <c r="M72" s="86"/>
      <c r="N72" s="85"/>
      <c r="O72" s="22">
        <f>P72+R72</f>
        <v>839.62400000000002</v>
      </c>
      <c r="P72" s="20">
        <v>839.62400000000002</v>
      </c>
      <c r="Q72" s="20">
        <v>624.60199999999998</v>
      </c>
      <c r="R72" s="23"/>
      <c r="S72" s="19">
        <f t="shared" si="12"/>
        <v>39</v>
      </c>
      <c r="T72" s="20">
        <v>39</v>
      </c>
      <c r="U72" s="20"/>
      <c r="V72" s="23"/>
    </row>
    <row r="73" spans="1:22" x14ac:dyDescent="0.2">
      <c r="A73" s="83">
        <f>+A72+1</f>
        <v>65</v>
      </c>
      <c r="B73" s="18" t="s">
        <v>20</v>
      </c>
      <c r="C73" s="22">
        <f t="shared" si="15"/>
        <v>744.85</v>
      </c>
      <c r="D73" s="20">
        <f t="shared" si="15"/>
        <v>744.85</v>
      </c>
      <c r="E73" s="20">
        <f t="shared" si="15"/>
        <v>480.98</v>
      </c>
      <c r="F73" s="20"/>
      <c r="G73" s="22">
        <f>+H73+J73</f>
        <v>276.029</v>
      </c>
      <c r="H73" s="20">
        <v>276.029</v>
      </c>
      <c r="I73" s="20">
        <v>141.018</v>
      </c>
      <c r="J73" s="23"/>
      <c r="K73" s="88"/>
      <c r="L73" s="86"/>
      <c r="M73" s="86"/>
      <c r="N73" s="85"/>
      <c r="O73" s="22">
        <f t="shared" si="11"/>
        <v>453.82100000000003</v>
      </c>
      <c r="P73" s="20">
        <v>453.82100000000003</v>
      </c>
      <c r="Q73" s="20">
        <v>339.96199999999999</v>
      </c>
      <c r="R73" s="23"/>
      <c r="S73" s="19">
        <f t="shared" si="12"/>
        <v>15</v>
      </c>
      <c r="T73" s="20">
        <v>15</v>
      </c>
      <c r="U73" s="20"/>
      <c r="V73" s="23"/>
    </row>
    <row r="74" spans="1:22" x14ac:dyDescent="0.2">
      <c r="A74" s="83">
        <f>+A73+1</f>
        <v>66</v>
      </c>
      <c r="B74" s="47" t="s">
        <v>148</v>
      </c>
      <c r="C74" s="22">
        <f t="shared" ref="C74:E75" si="17">G74+K74+O74+S74</f>
        <v>37.659999999999997</v>
      </c>
      <c r="D74" s="20">
        <f t="shared" si="17"/>
        <v>37.659999999999997</v>
      </c>
      <c r="E74" s="20">
        <f t="shared" si="17"/>
        <v>26.902999999999999</v>
      </c>
      <c r="F74" s="21"/>
      <c r="G74" s="22">
        <f>H74+J74</f>
        <v>33.159999999999997</v>
      </c>
      <c r="H74" s="20">
        <v>33.159999999999997</v>
      </c>
      <c r="I74" s="20">
        <v>24.834</v>
      </c>
      <c r="J74" s="23"/>
      <c r="K74" s="22"/>
      <c r="L74" s="20"/>
      <c r="M74" s="20"/>
      <c r="N74" s="23"/>
      <c r="O74" s="22"/>
      <c r="P74" s="20"/>
      <c r="Q74" s="20"/>
      <c r="R74" s="23"/>
      <c r="S74" s="19">
        <f t="shared" si="12"/>
        <v>4.5</v>
      </c>
      <c r="T74" s="20">
        <v>4.5</v>
      </c>
      <c r="U74" s="20">
        <v>2.069</v>
      </c>
      <c r="V74" s="23"/>
    </row>
    <row r="75" spans="1:22" x14ac:dyDescent="0.2">
      <c r="A75" s="83">
        <f>+A74+1</f>
        <v>67</v>
      </c>
      <c r="B75" s="18" t="s">
        <v>104</v>
      </c>
      <c r="C75" s="22">
        <f t="shared" si="17"/>
        <v>400.32900000000001</v>
      </c>
      <c r="D75" s="20">
        <f t="shared" si="17"/>
        <v>400.32900000000001</v>
      </c>
      <c r="E75" s="20">
        <f t="shared" si="17"/>
        <v>259.84100000000001</v>
      </c>
      <c r="F75" s="21"/>
      <c r="G75" s="22">
        <f>H75+J75</f>
        <v>194.916</v>
      </c>
      <c r="H75" s="20">
        <v>194.916</v>
      </c>
      <c r="I75" s="20">
        <v>119.081</v>
      </c>
      <c r="J75" s="23"/>
      <c r="K75" s="88"/>
      <c r="L75" s="86"/>
      <c r="M75" s="86"/>
      <c r="N75" s="85"/>
      <c r="O75" s="22">
        <f t="shared" si="11"/>
        <v>187.41300000000001</v>
      </c>
      <c r="P75" s="20">
        <v>187.41300000000001</v>
      </c>
      <c r="Q75" s="20">
        <v>140.76</v>
      </c>
      <c r="R75" s="23"/>
      <c r="S75" s="19">
        <f t="shared" si="12"/>
        <v>18</v>
      </c>
      <c r="T75" s="20">
        <v>18</v>
      </c>
      <c r="U75" s="20"/>
      <c r="V75" s="23"/>
    </row>
    <row r="76" spans="1:22" x14ac:dyDescent="0.2">
      <c r="A76" s="83">
        <f>+A75+1</f>
        <v>68</v>
      </c>
      <c r="B76" s="18" t="s">
        <v>21</v>
      </c>
      <c r="C76" s="22">
        <f t="shared" ref="C76:E78" si="18">+G76+K76+O76+S76</f>
        <v>646.21299999999997</v>
      </c>
      <c r="D76" s="20">
        <f t="shared" si="18"/>
        <v>646.21299999999997</v>
      </c>
      <c r="E76" s="20">
        <f t="shared" si="18"/>
        <v>410.47200000000004</v>
      </c>
      <c r="F76" s="21"/>
      <c r="G76" s="22">
        <f>+H76</f>
        <v>251.79900000000001</v>
      </c>
      <c r="H76" s="20">
        <v>251.79900000000001</v>
      </c>
      <c r="I76" s="20">
        <v>125.61499999999999</v>
      </c>
      <c r="J76" s="85"/>
      <c r="K76" s="88"/>
      <c r="L76" s="86"/>
      <c r="M76" s="86"/>
      <c r="N76" s="85"/>
      <c r="O76" s="22">
        <f t="shared" si="11"/>
        <v>379.91399999999999</v>
      </c>
      <c r="P76" s="20">
        <v>379.91399999999999</v>
      </c>
      <c r="Q76" s="20">
        <v>284.85700000000003</v>
      </c>
      <c r="R76" s="23"/>
      <c r="S76" s="19">
        <f t="shared" si="12"/>
        <v>14.5</v>
      </c>
      <c r="T76" s="20">
        <v>14.5</v>
      </c>
      <c r="U76" s="20"/>
      <c r="V76" s="23"/>
    </row>
    <row r="77" spans="1:22" x14ac:dyDescent="0.2">
      <c r="A77" s="83">
        <f>+A76+1</f>
        <v>69</v>
      </c>
      <c r="B77" s="18" t="s">
        <v>149</v>
      </c>
      <c r="C77" s="22">
        <f t="shared" si="18"/>
        <v>154.251</v>
      </c>
      <c r="D77" s="20">
        <f t="shared" si="18"/>
        <v>154.251</v>
      </c>
      <c r="E77" s="20">
        <f t="shared" si="18"/>
        <v>87.855999999999995</v>
      </c>
      <c r="F77" s="21"/>
      <c r="G77" s="22">
        <f>+H77</f>
        <v>102.15900000000001</v>
      </c>
      <c r="H77" s="20">
        <v>102.15900000000001</v>
      </c>
      <c r="I77" s="20">
        <v>54.658000000000001</v>
      </c>
      <c r="J77" s="23"/>
      <c r="K77" s="22"/>
      <c r="L77" s="20"/>
      <c r="M77" s="20"/>
      <c r="N77" s="23"/>
      <c r="O77" s="22">
        <f t="shared" si="11"/>
        <v>44.892000000000003</v>
      </c>
      <c r="P77" s="20">
        <v>44.892000000000003</v>
      </c>
      <c r="Q77" s="20">
        <v>33.198</v>
      </c>
      <c r="R77" s="23"/>
      <c r="S77" s="19">
        <f t="shared" si="12"/>
        <v>7.2</v>
      </c>
      <c r="T77" s="20">
        <v>7.2</v>
      </c>
      <c r="U77" s="20"/>
      <c r="V77" s="23"/>
    </row>
    <row r="78" spans="1:22" x14ac:dyDescent="0.2">
      <c r="A78" s="83">
        <v>70</v>
      </c>
      <c r="B78" s="47" t="s">
        <v>150</v>
      </c>
      <c r="C78" s="22">
        <f>+G78+K78+O78+S78</f>
        <v>41.170999999999999</v>
      </c>
      <c r="D78" s="20">
        <f t="shared" si="18"/>
        <v>41.170999999999999</v>
      </c>
      <c r="E78" s="20">
        <f t="shared" si="18"/>
        <v>28.078000000000003</v>
      </c>
      <c r="F78" s="21"/>
      <c r="G78" s="22">
        <f>+H78</f>
        <v>39.658999999999999</v>
      </c>
      <c r="H78" s="20">
        <v>39.658999999999999</v>
      </c>
      <c r="I78" s="20">
        <v>27.382000000000001</v>
      </c>
      <c r="J78" s="23"/>
      <c r="K78" s="22"/>
      <c r="L78" s="20"/>
      <c r="M78" s="20"/>
      <c r="N78" s="23"/>
      <c r="O78" s="22"/>
      <c r="P78" s="20"/>
      <c r="Q78" s="20"/>
      <c r="R78" s="23"/>
      <c r="S78" s="19">
        <f t="shared" si="12"/>
        <v>1.512</v>
      </c>
      <c r="T78" s="20">
        <v>1.512</v>
      </c>
      <c r="U78" s="20">
        <v>0.69599999999999995</v>
      </c>
      <c r="V78" s="23"/>
    </row>
    <row r="79" spans="1:22" x14ac:dyDescent="0.2">
      <c r="A79" s="83">
        <f t="shared" ref="A79:A142" si="19">+A78+1</f>
        <v>71</v>
      </c>
      <c r="B79" s="18" t="s">
        <v>22</v>
      </c>
      <c r="C79" s="22">
        <f t="shared" ref="C79:F164" si="20">G79+K79+O79+S79</f>
        <v>660.67700000000002</v>
      </c>
      <c r="D79" s="20">
        <f>H79+L79+P79+T79</f>
        <v>659.548</v>
      </c>
      <c r="E79" s="20">
        <f>I79+M79+Q79+U79</f>
        <v>439.84999999999997</v>
      </c>
      <c r="F79" s="20">
        <f>+J79+N79+R79+V79</f>
        <v>1.129</v>
      </c>
      <c r="G79" s="22">
        <f>H79+J79</f>
        <v>208.93199999999999</v>
      </c>
      <c r="H79" s="20">
        <v>207.803</v>
      </c>
      <c r="I79" s="20">
        <v>118.34399999999999</v>
      </c>
      <c r="J79" s="23">
        <v>1.129</v>
      </c>
      <c r="K79" s="88"/>
      <c r="L79" s="86"/>
      <c r="M79" s="86"/>
      <c r="N79" s="85"/>
      <c r="O79" s="22">
        <f t="shared" si="11"/>
        <v>428.745</v>
      </c>
      <c r="P79" s="20">
        <v>428.745</v>
      </c>
      <c r="Q79" s="20">
        <v>321.50599999999997</v>
      </c>
      <c r="R79" s="23"/>
      <c r="S79" s="19">
        <f t="shared" si="12"/>
        <v>23</v>
      </c>
      <c r="T79" s="20">
        <v>23</v>
      </c>
      <c r="U79" s="20"/>
      <c r="V79" s="23"/>
    </row>
    <row r="80" spans="1:22" x14ac:dyDescent="0.2">
      <c r="A80" s="83">
        <f t="shared" si="19"/>
        <v>72</v>
      </c>
      <c r="B80" s="47" t="s">
        <v>151</v>
      </c>
      <c r="C80" s="22">
        <f t="shared" si="20"/>
        <v>34.462000000000003</v>
      </c>
      <c r="D80" s="20">
        <f>H80+L80+P80+T80</f>
        <v>34.462000000000003</v>
      </c>
      <c r="E80" s="20">
        <f>I80+M80+Q80+U80</f>
        <v>25.736000000000001</v>
      </c>
      <c r="F80" s="21"/>
      <c r="G80" s="22">
        <f>H80+J80</f>
        <v>32.862000000000002</v>
      </c>
      <c r="H80" s="20">
        <v>32.862000000000002</v>
      </c>
      <c r="I80" s="20">
        <v>25</v>
      </c>
      <c r="J80" s="23"/>
      <c r="K80" s="22"/>
      <c r="L80" s="20"/>
      <c r="M80" s="20"/>
      <c r="N80" s="23"/>
      <c r="O80" s="22"/>
      <c r="P80" s="20"/>
      <c r="Q80" s="20"/>
      <c r="R80" s="23"/>
      <c r="S80" s="19">
        <f t="shared" si="12"/>
        <v>1.6</v>
      </c>
      <c r="T80" s="20">
        <v>1.6</v>
      </c>
      <c r="U80" s="20">
        <v>0.73599999999999999</v>
      </c>
      <c r="V80" s="23"/>
    </row>
    <row r="81" spans="1:22" x14ac:dyDescent="0.2">
      <c r="A81" s="83">
        <f t="shared" si="19"/>
        <v>73</v>
      </c>
      <c r="B81" s="18" t="s">
        <v>107</v>
      </c>
      <c r="C81" s="22">
        <f t="shared" ref="C81:E88" si="21">+G81+K81+O81+S81</f>
        <v>778.90199999999993</v>
      </c>
      <c r="D81" s="20">
        <f t="shared" si="21"/>
        <v>778.90199999999993</v>
      </c>
      <c r="E81" s="20">
        <f t="shared" si="21"/>
        <v>465.16399999999999</v>
      </c>
      <c r="F81" s="21"/>
      <c r="G81" s="22">
        <f t="shared" ref="G81:G88" si="22">+H81</f>
        <v>341.57100000000003</v>
      </c>
      <c r="H81" s="20">
        <v>341.57100000000003</v>
      </c>
      <c r="I81" s="20">
        <v>160.738</v>
      </c>
      <c r="J81" s="85"/>
      <c r="K81" s="88"/>
      <c r="L81" s="86"/>
      <c r="M81" s="86"/>
      <c r="N81" s="85"/>
      <c r="O81" s="22">
        <f t="shared" si="11"/>
        <v>405.93099999999998</v>
      </c>
      <c r="P81" s="20">
        <v>405.93099999999998</v>
      </c>
      <c r="Q81" s="20">
        <v>304.42599999999999</v>
      </c>
      <c r="R81" s="85"/>
      <c r="S81" s="19">
        <f>+T81</f>
        <v>31.4</v>
      </c>
      <c r="T81" s="20">
        <v>31.4</v>
      </c>
      <c r="U81" s="20"/>
      <c r="V81" s="23"/>
    </row>
    <row r="82" spans="1:22" x14ac:dyDescent="0.2">
      <c r="A82" s="83">
        <f t="shared" si="19"/>
        <v>74</v>
      </c>
      <c r="B82" s="18" t="s">
        <v>34</v>
      </c>
      <c r="C82" s="22">
        <f t="shared" si="21"/>
        <v>325.79599999999994</v>
      </c>
      <c r="D82" s="20">
        <f t="shared" si="21"/>
        <v>325.79599999999994</v>
      </c>
      <c r="E82" s="20">
        <f t="shared" si="21"/>
        <v>207.63200000000001</v>
      </c>
      <c r="F82" s="21"/>
      <c r="G82" s="22">
        <f>+H82+J82</f>
        <v>16.977</v>
      </c>
      <c r="H82" s="20">
        <v>16.977</v>
      </c>
      <c r="I82" s="20"/>
      <c r="J82" s="23"/>
      <c r="K82" s="22">
        <f>L82+N82</f>
        <v>136.1</v>
      </c>
      <c r="L82" s="20">
        <v>136.1</v>
      </c>
      <c r="M82" s="20">
        <v>82.593000000000004</v>
      </c>
      <c r="N82" s="23"/>
      <c r="O82" s="22">
        <f t="shared" si="11"/>
        <v>165.31899999999999</v>
      </c>
      <c r="P82" s="20">
        <v>165.31899999999999</v>
      </c>
      <c r="Q82" s="20">
        <v>125.039</v>
      </c>
      <c r="R82" s="23"/>
      <c r="S82" s="19">
        <f>+T82</f>
        <v>7.4</v>
      </c>
      <c r="T82" s="20">
        <v>7.4</v>
      </c>
      <c r="U82" s="20"/>
      <c r="V82" s="23"/>
    </row>
    <row r="83" spans="1:22" x14ac:dyDescent="0.2">
      <c r="A83" s="83">
        <v>75</v>
      </c>
      <c r="B83" s="18" t="s">
        <v>108</v>
      </c>
      <c r="C83" s="22">
        <f t="shared" si="21"/>
        <v>406.80399999999997</v>
      </c>
      <c r="D83" s="20">
        <f t="shared" si="21"/>
        <v>406.80399999999997</v>
      </c>
      <c r="E83" s="20">
        <f t="shared" si="21"/>
        <v>294.00099999999998</v>
      </c>
      <c r="F83" s="21"/>
      <c r="G83" s="22">
        <f t="shared" si="22"/>
        <v>352.59899999999999</v>
      </c>
      <c r="H83" s="20">
        <v>352.59899999999999</v>
      </c>
      <c r="I83" s="20">
        <v>261.88499999999999</v>
      </c>
      <c r="J83" s="85"/>
      <c r="K83" s="88"/>
      <c r="L83" s="86"/>
      <c r="M83" s="86"/>
      <c r="N83" s="85"/>
      <c r="O83" s="22">
        <f t="shared" si="11"/>
        <v>25.704999999999998</v>
      </c>
      <c r="P83" s="20">
        <v>25.704999999999998</v>
      </c>
      <c r="Q83" s="20">
        <v>19.7</v>
      </c>
      <c r="R83" s="23"/>
      <c r="S83" s="19">
        <f>+T83+V83</f>
        <v>28.5</v>
      </c>
      <c r="T83" s="20">
        <v>28.5</v>
      </c>
      <c r="U83" s="20">
        <v>12.416</v>
      </c>
      <c r="V83" s="23"/>
    </row>
    <row r="84" spans="1:22" x14ac:dyDescent="0.2">
      <c r="A84" s="83">
        <f t="shared" si="19"/>
        <v>76</v>
      </c>
      <c r="B84" s="18" t="s">
        <v>32</v>
      </c>
      <c r="C84" s="22">
        <f t="shared" si="21"/>
        <v>119.569</v>
      </c>
      <c r="D84" s="20">
        <f t="shared" si="21"/>
        <v>119.569</v>
      </c>
      <c r="E84" s="20">
        <f t="shared" si="21"/>
        <v>86.772000000000006</v>
      </c>
      <c r="F84" s="21"/>
      <c r="G84" s="22">
        <f t="shared" si="22"/>
        <v>94.293999999999997</v>
      </c>
      <c r="H84" s="20">
        <v>94.293999999999997</v>
      </c>
      <c r="I84" s="20">
        <v>71.525000000000006</v>
      </c>
      <c r="J84" s="85"/>
      <c r="K84" s="88"/>
      <c r="L84" s="86"/>
      <c r="M84" s="86"/>
      <c r="N84" s="85"/>
      <c r="O84" s="22">
        <f t="shared" si="11"/>
        <v>13.775</v>
      </c>
      <c r="P84" s="20">
        <v>13.775</v>
      </c>
      <c r="Q84" s="20">
        <v>10.557</v>
      </c>
      <c r="R84" s="23"/>
      <c r="S84" s="19">
        <f t="shared" ref="S84:S89" si="23">T84+V84</f>
        <v>11.5</v>
      </c>
      <c r="T84" s="20">
        <v>11.5</v>
      </c>
      <c r="U84" s="20">
        <v>4.6900000000000004</v>
      </c>
      <c r="V84" s="23"/>
    </row>
    <row r="85" spans="1:22" x14ac:dyDescent="0.2">
      <c r="A85" s="83">
        <f t="shared" si="19"/>
        <v>77</v>
      </c>
      <c r="B85" s="47" t="s">
        <v>23</v>
      </c>
      <c r="C85" s="22">
        <f t="shared" si="21"/>
        <v>86.653000000000006</v>
      </c>
      <c r="D85" s="20">
        <f t="shared" si="21"/>
        <v>86.653000000000006</v>
      </c>
      <c r="E85" s="20">
        <f t="shared" si="21"/>
        <v>47.442</v>
      </c>
      <c r="F85" s="21"/>
      <c r="G85" s="22">
        <f t="shared" si="22"/>
        <v>65.653000000000006</v>
      </c>
      <c r="H85" s="20">
        <v>65.653000000000006</v>
      </c>
      <c r="I85" s="20">
        <v>47.442</v>
      </c>
      <c r="J85" s="85"/>
      <c r="K85" s="88"/>
      <c r="L85" s="86"/>
      <c r="M85" s="86"/>
      <c r="N85" s="85"/>
      <c r="O85" s="22"/>
      <c r="P85" s="20"/>
      <c r="Q85" s="20"/>
      <c r="R85" s="23"/>
      <c r="S85" s="19">
        <f t="shared" si="23"/>
        <v>21</v>
      </c>
      <c r="T85" s="20">
        <v>21</v>
      </c>
      <c r="U85" s="20"/>
      <c r="V85" s="23"/>
    </row>
    <row r="86" spans="1:22" x14ac:dyDescent="0.2">
      <c r="A86" s="83">
        <v>78</v>
      </c>
      <c r="B86" s="47" t="s">
        <v>152</v>
      </c>
      <c r="C86" s="22">
        <f t="shared" si="21"/>
        <v>90.528999999999996</v>
      </c>
      <c r="D86" s="20">
        <f t="shared" si="21"/>
        <v>90.528999999999996</v>
      </c>
      <c r="E86" s="20">
        <f t="shared" si="21"/>
        <v>67.105000000000004</v>
      </c>
      <c r="F86" s="21"/>
      <c r="G86" s="22">
        <f t="shared" si="22"/>
        <v>31.66</v>
      </c>
      <c r="H86" s="20">
        <v>31.66</v>
      </c>
      <c r="I86" s="20">
        <v>22.754000000000001</v>
      </c>
      <c r="J86" s="85"/>
      <c r="K86" s="88"/>
      <c r="L86" s="86"/>
      <c r="M86" s="86"/>
      <c r="N86" s="85"/>
      <c r="O86" s="22">
        <f t="shared" si="11"/>
        <v>57.869</v>
      </c>
      <c r="P86" s="20">
        <v>57.869</v>
      </c>
      <c r="Q86" s="20">
        <v>44.350999999999999</v>
      </c>
      <c r="R86" s="23"/>
      <c r="S86" s="19">
        <f t="shared" si="23"/>
        <v>1</v>
      </c>
      <c r="T86" s="20">
        <v>1</v>
      </c>
      <c r="U86" s="20"/>
      <c r="V86" s="23"/>
    </row>
    <row r="87" spans="1:22" x14ac:dyDescent="0.2">
      <c r="A87" s="83">
        <f t="shared" si="19"/>
        <v>79</v>
      </c>
      <c r="B87" s="18" t="s">
        <v>109</v>
      </c>
      <c r="C87" s="22">
        <f t="shared" si="21"/>
        <v>227.31699999999998</v>
      </c>
      <c r="D87" s="20">
        <f t="shared" si="21"/>
        <v>227.31699999999998</v>
      </c>
      <c r="E87" s="20">
        <f t="shared" si="21"/>
        <v>146.53799999999998</v>
      </c>
      <c r="F87" s="21"/>
      <c r="G87" s="22">
        <f t="shared" si="22"/>
        <v>159.31399999999999</v>
      </c>
      <c r="H87" s="20">
        <v>159.31399999999999</v>
      </c>
      <c r="I87" s="20">
        <v>103.696</v>
      </c>
      <c r="J87" s="85"/>
      <c r="K87" s="88"/>
      <c r="L87" s="86"/>
      <c r="M87" s="86"/>
      <c r="N87" s="85"/>
      <c r="O87" s="22">
        <f t="shared" si="11"/>
        <v>56.302999999999997</v>
      </c>
      <c r="P87" s="20">
        <v>56.302999999999997</v>
      </c>
      <c r="Q87" s="20">
        <v>41.646000000000001</v>
      </c>
      <c r="R87" s="23"/>
      <c r="S87" s="19">
        <f t="shared" si="23"/>
        <v>11.7</v>
      </c>
      <c r="T87" s="20">
        <v>11.7</v>
      </c>
      <c r="U87" s="20">
        <v>1.196</v>
      </c>
      <c r="V87" s="23"/>
    </row>
    <row r="88" spans="1:22" x14ac:dyDescent="0.2">
      <c r="A88" s="83">
        <v>80</v>
      </c>
      <c r="B88" s="18" t="s">
        <v>153</v>
      </c>
      <c r="C88" s="28">
        <f t="shared" si="21"/>
        <v>67.899000000000001</v>
      </c>
      <c r="D88" s="20">
        <f t="shared" si="21"/>
        <v>67.899000000000001</v>
      </c>
      <c r="E88" s="19">
        <f t="shared" si="21"/>
        <v>43.929000000000002</v>
      </c>
      <c r="F88" s="21"/>
      <c r="G88" s="22">
        <f t="shared" si="22"/>
        <v>40.21</v>
      </c>
      <c r="H88" s="20">
        <v>40.21</v>
      </c>
      <c r="I88" s="20">
        <v>25.751000000000001</v>
      </c>
      <c r="J88" s="85"/>
      <c r="K88" s="88"/>
      <c r="L88" s="86"/>
      <c r="M88" s="86"/>
      <c r="N88" s="85"/>
      <c r="O88" s="22">
        <f t="shared" si="11"/>
        <v>24.588999999999999</v>
      </c>
      <c r="P88" s="20">
        <v>24.588999999999999</v>
      </c>
      <c r="Q88" s="20">
        <v>18.178000000000001</v>
      </c>
      <c r="R88" s="23"/>
      <c r="S88" s="19">
        <f t="shared" si="23"/>
        <v>3.1</v>
      </c>
      <c r="T88" s="20">
        <v>3.1</v>
      </c>
      <c r="U88" s="20"/>
      <c r="V88" s="23"/>
    </row>
    <row r="89" spans="1:22" x14ac:dyDescent="0.2">
      <c r="A89" s="83">
        <v>81</v>
      </c>
      <c r="B89" s="47" t="s">
        <v>5</v>
      </c>
      <c r="C89" s="22">
        <f t="shared" si="20"/>
        <v>14.457000000000001</v>
      </c>
      <c r="D89" s="20">
        <f t="shared" si="20"/>
        <v>14.457000000000001</v>
      </c>
      <c r="E89" s="20">
        <f t="shared" si="20"/>
        <v>11.08</v>
      </c>
      <c r="F89" s="21">
        <f>+J89+N89+R89+V89</f>
        <v>0</v>
      </c>
      <c r="G89" s="22">
        <f t="shared" ref="G89:G171" si="24">H89+J89</f>
        <v>0</v>
      </c>
      <c r="H89" s="20"/>
      <c r="I89" s="20"/>
      <c r="J89" s="23"/>
      <c r="K89" s="88"/>
      <c r="L89" s="86"/>
      <c r="M89" s="86"/>
      <c r="N89" s="85"/>
      <c r="O89" s="22">
        <f t="shared" si="11"/>
        <v>14.457000000000001</v>
      </c>
      <c r="P89" s="20">
        <v>14.457000000000001</v>
      </c>
      <c r="Q89" s="20">
        <v>11.08</v>
      </c>
      <c r="R89" s="23"/>
      <c r="S89" s="19">
        <f t="shared" si="23"/>
        <v>0</v>
      </c>
      <c r="T89" s="20"/>
      <c r="U89" s="20"/>
      <c r="V89" s="23"/>
    </row>
    <row r="90" spans="1:22" x14ac:dyDescent="0.2">
      <c r="A90" s="83">
        <v>82</v>
      </c>
      <c r="B90" s="32" t="s">
        <v>154</v>
      </c>
      <c r="C90" s="13">
        <f t="shared" si="20"/>
        <v>0</v>
      </c>
      <c r="D90" s="16">
        <f t="shared" si="20"/>
        <v>0</v>
      </c>
      <c r="E90" s="16"/>
      <c r="F90" s="21"/>
      <c r="G90" s="13">
        <f t="shared" si="24"/>
        <v>0</v>
      </c>
      <c r="H90" s="16"/>
      <c r="I90" s="20"/>
      <c r="J90" s="23"/>
      <c r="K90" s="88"/>
      <c r="L90" s="86"/>
      <c r="M90" s="86"/>
      <c r="N90" s="85"/>
      <c r="O90" s="22"/>
      <c r="P90" s="20"/>
      <c r="Q90" s="20"/>
      <c r="R90" s="23"/>
      <c r="S90" s="19"/>
      <c r="T90" s="20"/>
      <c r="U90" s="20"/>
      <c r="V90" s="23"/>
    </row>
    <row r="91" spans="1:22" x14ac:dyDescent="0.2">
      <c r="A91" s="83">
        <v>83</v>
      </c>
      <c r="B91" s="18" t="s">
        <v>7</v>
      </c>
      <c r="C91" s="22">
        <f t="shared" si="20"/>
        <v>0</v>
      </c>
      <c r="D91" s="20">
        <f t="shared" si="20"/>
        <v>0</v>
      </c>
      <c r="E91" s="20">
        <f t="shared" si="20"/>
        <v>0</v>
      </c>
      <c r="F91" s="21"/>
      <c r="G91" s="22">
        <f t="shared" si="24"/>
        <v>0</v>
      </c>
      <c r="H91" s="20"/>
      <c r="I91" s="20"/>
      <c r="J91" s="25"/>
      <c r="K91" s="88"/>
      <c r="L91" s="86"/>
      <c r="M91" s="86"/>
      <c r="N91" s="85"/>
      <c r="O91" s="22"/>
      <c r="P91" s="20"/>
      <c r="Q91" s="20"/>
      <c r="R91" s="23"/>
      <c r="S91" s="19"/>
      <c r="T91" s="20"/>
      <c r="U91" s="20"/>
      <c r="V91" s="23"/>
    </row>
    <row r="92" spans="1:22" x14ac:dyDescent="0.2">
      <c r="A92" s="83">
        <v>84</v>
      </c>
      <c r="B92" s="18" t="s">
        <v>8</v>
      </c>
      <c r="C92" s="22">
        <f t="shared" si="20"/>
        <v>0</v>
      </c>
      <c r="D92" s="20">
        <f t="shared" si="20"/>
        <v>0</v>
      </c>
      <c r="E92" s="20">
        <f t="shared" si="20"/>
        <v>0</v>
      </c>
      <c r="F92" s="21"/>
      <c r="G92" s="22">
        <f t="shared" si="24"/>
        <v>0</v>
      </c>
      <c r="H92" s="20"/>
      <c r="I92" s="20"/>
      <c r="J92" s="25"/>
      <c r="K92" s="88"/>
      <c r="L92" s="86"/>
      <c r="M92" s="86"/>
      <c r="N92" s="85"/>
      <c r="O92" s="22"/>
      <c r="P92" s="20"/>
      <c r="Q92" s="20"/>
      <c r="R92" s="23"/>
      <c r="S92" s="19"/>
      <c r="T92" s="20"/>
      <c r="U92" s="20"/>
      <c r="V92" s="23"/>
    </row>
    <row r="93" spans="1:22" x14ac:dyDescent="0.2">
      <c r="A93" s="83">
        <v>85</v>
      </c>
      <c r="B93" s="18" t="s">
        <v>9</v>
      </c>
      <c r="C93" s="22">
        <f t="shared" si="20"/>
        <v>0</v>
      </c>
      <c r="D93" s="20">
        <f t="shared" si="20"/>
        <v>0</v>
      </c>
      <c r="E93" s="20">
        <f t="shared" si="20"/>
        <v>0</v>
      </c>
      <c r="F93" s="21"/>
      <c r="G93" s="22">
        <f t="shared" si="24"/>
        <v>0</v>
      </c>
      <c r="H93" s="20"/>
      <c r="I93" s="20"/>
      <c r="J93" s="23"/>
      <c r="K93" s="88"/>
      <c r="L93" s="86"/>
      <c r="M93" s="86"/>
      <c r="N93" s="85"/>
      <c r="O93" s="22"/>
      <c r="P93" s="20"/>
      <c r="Q93" s="20"/>
      <c r="R93" s="23"/>
      <c r="S93" s="92"/>
      <c r="T93" s="16"/>
      <c r="U93" s="16"/>
      <c r="V93" s="25"/>
    </row>
    <row r="94" spans="1:22" x14ac:dyDescent="0.2">
      <c r="A94" s="83">
        <f t="shared" si="19"/>
        <v>86</v>
      </c>
      <c r="B94" s="18" t="s">
        <v>10</v>
      </c>
      <c r="C94" s="22">
        <f t="shared" si="20"/>
        <v>0</v>
      </c>
      <c r="D94" s="20">
        <f t="shared" si="20"/>
        <v>0</v>
      </c>
      <c r="E94" s="20">
        <f t="shared" si="20"/>
        <v>0</v>
      </c>
      <c r="F94" s="21"/>
      <c r="G94" s="22">
        <f t="shared" si="24"/>
        <v>0</v>
      </c>
      <c r="H94" s="20"/>
      <c r="I94" s="20"/>
      <c r="J94" s="25"/>
      <c r="K94" s="88"/>
      <c r="L94" s="86"/>
      <c r="M94" s="86"/>
      <c r="N94" s="85"/>
      <c r="O94" s="22"/>
      <c r="P94" s="20"/>
      <c r="Q94" s="20"/>
      <c r="R94" s="23"/>
      <c r="S94" s="92"/>
      <c r="T94" s="16"/>
      <c r="U94" s="16"/>
      <c r="V94" s="25"/>
    </row>
    <row r="95" spans="1:22" x14ac:dyDescent="0.2">
      <c r="A95" s="83">
        <f t="shared" si="19"/>
        <v>87</v>
      </c>
      <c r="B95" s="18" t="s">
        <v>11</v>
      </c>
      <c r="C95" s="22">
        <f t="shared" si="20"/>
        <v>0</v>
      </c>
      <c r="D95" s="20">
        <f t="shared" si="20"/>
        <v>0</v>
      </c>
      <c r="E95" s="20">
        <f t="shared" si="20"/>
        <v>0</v>
      </c>
      <c r="F95" s="21"/>
      <c r="G95" s="22">
        <f t="shared" si="24"/>
        <v>0</v>
      </c>
      <c r="H95" s="20"/>
      <c r="I95" s="20"/>
      <c r="J95" s="25"/>
      <c r="K95" s="88"/>
      <c r="L95" s="86"/>
      <c r="M95" s="86"/>
      <c r="N95" s="85"/>
      <c r="O95" s="22"/>
      <c r="P95" s="20"/>
      <c r="Q95" s="20"/>
      <c r="R95" s="23"/>
      <c r="S95" s="92"/>
      <c r="T95" s="16"/>
      <c r="U95" s="16"/>
      <c r="V95" s="25"/>
    </row>
    <row r="96" spans="1:22" x14ac:dyDescent="0.2">
      <c r="A96" s="83">
        <f t="shared" si="19"/>
        <v>88</v>
      </c>
      <c r="B96" s="18" t="s">
        <v>12</v>
      </c>
      <c r="C96" s="22">
        <f t="shared" si="20"/>
        <v>0</v>
      </c>
      <c r="D96" s="20">
        <f t="shared" si="20"/>
        <v>0</v>
      </c>
      <c r="E96" s="20">
        <f t="shared" si="20"/>
        <v>0</v>
      </c>
      <c r="F96" s="21"/>
      <c r="G96" s="22">
        <f t="shared" si="24"/>
        <v>0</v>
      </c>
      <c r="H96" s="20"/>
      <c r="I96" s="20"/>
      <c r="J96" s="25"/>
      <c r="K96" s="88"/>
      <c r="L96" s="86"/>
      <c r="M96" s="86"/>
      <c r="N96" s="85"/>
      <c r="O96" s="22"/>
      <c r="P96" s="20"/>
      <c r="Q96" s="20"/>
      <c r="R96" s="23"/>
      <c r="S96" s="92"/>
      <c r="T96" s="16"/>
      <c r="U96" s="16"/>
      <c r="V96" s="25"/>
    </row>
    <row r="97" spans="1:22" x14ac:dyDescent="0.2">
      <c r="A97" s="83">
        <v>89</v>
      </c>
      <c r="B97" s="18" t="s">
        <v>14</v>
      </c>
      <c r="C97" s="22">
        <f>G97+K97+O97+S97</f>
        <v>0</v>
      </c>
      <c r="D97" s="20">
        <f t="shared" si="20"/>
        <v>0</v>
      </c>
      <c r="E97" s="20"/>
      <c r="F97" s="21"/>
      <c r="G97" s="22">
        <f>H97+J97</f>
        <v>0</v>
      </c>
      <c r="H97" s="20"/>
      <c r="I97" s="20"/>
      <c r="J97" s="25"/>
      <c r="K97" s="88"/>
      <c r="L97" s="86"/>
      <c r="M97" s="86"/>
      <c r="N97" s="85"/>
      <c r="O97" s="22"/>
      <c r="P97" s="20"/>
      <c r="Q97" s="20"/>
      <c r="R97" s="23"/>
      <c r="S97" s="92"/>
      <c r="T97" s="16"/>
      <c r="U97" s="16"/>
      <c r="V97" s="25"/>
    </row>
    <row r="98" spans="1:22" ht="13.5" thickBot="1" x14ac:dyDescent="0.25">
      <c r="A98" s="112">
        <f t="shared" si="19"/>
        <v>90</v>
      </c>
      <c r="B98" s="35" t="s">
        <v>28</v>
      </c>
      <c r="C98" s="39">
        <f>G98+K98+O98+S98</f>
        <v>0</v>
      </c>
      <c r="D98" s="37">
        <f t="shared" si="20"/>
        <v>0</v>
      </c>
      <c r="E98" s="37"/>
      <c r="F98" s="38"/>
      <c r="G98" s="39">
        <f>H98+J98</f>
        <v>0</v>
      </c>
      <c r="H98" s="37"/>
      <c r="I98" s="37"/>
      <c r="J98" s="44"/>
      <c r="K98" s="113"/>
      <c r="L98" s="114"/>
      <c r="M98" s="114"/>
      <c r="N98" s="115"/>
      <c r="O98" s="50"/>
      <c r="P98" s="49"/>
      <c r="Q98" s="49"/>
      <c r="R98" s="52"/>
      <c r="S98" s="116"/>
      <c r="T98" s="117"/>
      <c r="U98" s="117"/>
      <c r="V98" s="51"/>
    </row>
    <row r="99" spans="1:22" ht="45.75" thickBot="1" x14ac:dyDescent="0.3">
      <c r="A99" s="63">
        <f t="shared" si="19"/>
        <v>91</v>
      </c>
      <c r="B99" s="64" t="s">
        <v>155</v>
      </c>
      <c r="C99" s="118">
        <f>G99+K99+O99+S99</f>
        <v>65.314999999999998</v>
      </c>
      <c r="D99" s="119">
        <f t="shared" si="20"/>
        <v>65.314999999999998</v>
      </c>
      <c r="E99" s="53">
        <f t="shared" si="20"/>
        <v>37.926000000000002</v>
      </c>
      <c r="F99" s="58">
        <f t="shared" si="20"/>
        <v>0</v>
      </c>
      <c r="G99" s="53">
        <f>G100+G111+G114+G117+G118+SUM(G122:G133)+G135+G138+G139</f>
        <v>60.914999999999999</v>
      </c>
      <c r="H99" s="53">
        <f>H100+H111+H114+H117+H118+SUM(H122:H133)+H135+H138+H139</f>
        <v>60.914999999999999</v>
      </c>
      <c r="I99" s="53">
        <f>I100+I111+I114+SUM(I117:I133)+I135+I138+I139</f>
        <v>37.926000000000002</v>
      </c>
      <c r="J99" s="53"/>
      <c r="K99" s="120"/>
      <c r="L99" s="121"/>
      <c r="M99" s="121"/>
      <c r="N99" s="99"/>
      <c r="O99" s="120"/>
      <c r="P99" s="121"/>
      <c r="Q99" s="121"/>
      <c r="R99" s="99"/>
      <c r="S99" s="59">
        <f>S100+SUM(S111:S133)+S135+S138+S139</f>
        <v>4.4000000000000004</v>
      </c>
      <c r="T99" s="119">
        <f>SUM(T111:T139)</f>
        <v>4.4000000000000004</v>
      </c>
      <c r="U99" s="53">
        <f>SUM(U111:U138)</f>
        <v>0</v>
      </c>
      <c r="V99" s="58">
        <f>SUM(V111:V138)</f>
        <v>0</v>
      </c>
    </row>
    <row r="100" spans="1:22" ht="25.5" x14ac:dyDescent="0.2">
      <c r="A100" s="68">
        <f t="shared" si="19"/>
        <v>92</v>
      </c>
      <c r="B100" s="122" t="s">
        <v>156</v>
      </c>
      <c r="C100" s="80">
        <f t="shared" si="20"/>
        <v>0</v>
      </c>
      <c r="D100" s="75">
        <f t="shared" si="20"/>
        <v>0</v>
      </c>
      <c r="E100" s="75"/>
      <c r="F100" s="79"/>
      <c r="G100" s="123">
        <f>SUM(G101:G110)-G104-G105</f>
        <v>0</v>
      </c>
      <c r="H100" s="103">
        <f>SUM(H101:H110)-H104-H105</f>
        <v>0</v>
      </c>
      <c r="I100" s="103"/>
      <c r="J100" s="104"/>
      <c r="K100" s="124"/>
      <c r="L100" s="109"/>
      <c r="M100" s="109"/>
      <c r="N100" s="105"/>
      <c r="O100" s="124"/>
      <c r="P100" s="109"/>
      <c r="Q100" s="109"/>
      <c r="R100" s="105"/>
      <c r="S100" s="124"/>
      <c r="T100" s="109"/>
      <c r="U100" s="109"/>
      <c r="V100" s="105"/>
    </row>
    <row r="101" spans="1:22" x14ac:dyDescent="0.2">
      <c r="A101" s="83">
        <f t="shared" si="19"/>
        <v>93</v>
      </c>
      <c r="B101" s="33" t="s">
        <v>157</v>
      </c>
      <c r="C101" s="13">
        <f t="shared" si="20"/>
        <v>0</v>
      </c>
      <c r="D101" s="86">
        <f t="shared" si="20"/>
        <v>0</v>
      </c>
      <c r="E101" s="86"/>
      <c r="F101" s="87"/>
      <c r="G101" s="88">
        <f t="shared" si="24"/>
        <v>0</v>
      </c>
      <c r="H101" s="86"/>
      <c r="I101" s="86"/>
      <c r="J101" s="85"/>
      <c r="K101" s="88"/>
      <c r="L101" s="86"/>
      <c r="M101" s="86"/>
      <c r="N101" s="85"/>
      <c r="O101" s="88"/>
      <c r="P101" s="86"/>
      <c r="Q101" s="86"/>
      <c r="R101" s="85"/>
      <c r="S101" s="88"/>
      <c r="T101" s="86"/>
      <c r="U101" s="86"/>
      <c r="V101" s="85"/>
    </row>
    <row r="102" spans="1:22" x14ac:dyDescent="0.2">
      <c r="A102" s="83">
        <f t="shared" si="19"/>
        <v>94</v>
      </c>
      <c r="B102" s="33" t="s">
        <v>158</v>
      </c>
      <c r="C102" s="13">
        <f t="shared" si="20"/>
        <v>0</v>
      </c>
      <c r="D102" s="86">
        <f t="shared" si="20"/>
        <v>0</v>
      </c>
      <c r="E102" s="86"/>
      <c r="F102" s="87"/>
      <c r="G102" s="88">
        <f t="shared" si="24"/>
        <v>0</v>
      </c>
      <c r="H102" s="86"/>
      <c r="I102" s="86"/>
      <c r="J102" s="85"/>
      <c r="K102" s="88"/>
      <c r="L102" s="86"/>
      <c r="M102" s="86"/>
      <c r="N102" s="85"/>
      <c r="O102" s="88"/>
      <c r="P102" s="86"/>
      <c r="Q102" s="86"/>
      <c r="R102" s="85"/>
      <c r="S102" s="88"/>
      <c r="T102" s="86"/>
      <c r="U102" s="86"/>
      <c r="V102" s="85"/>
    </row>
    <row r="103" spans="1:22" x14ac:dyDescent="0.2">
      <c r="A103" s="83">
        <v>95</v>
      </c>
      <c r="B103" s="111" t="s">
        <v>159</v>
      </c>
      <c r="C103" s="13">
        <f t="shared" si="20"/>
        <v>0</v>
      </c>
      <c r="D103" s="86">
        <f t="shared" si="20"/>
        <v>0</v>
      </c>
      <c r="E103" s="86"/>
      <c r="F103" s="87"/>
      <c r="G103" s="88">
        <f t="shared" si="24"/>
        <v>0</v>
      </c>
      <c r="H103" s="86"/>
      <c r="I103" s="86"/>
      <c r="J103" s="85"/>
      <c r="K103" s="88"/>
      <c r="L103" s="86"/>
      <c r="M103" s="86"/>
      <c r="N103" s="85"/>
      <c r="O103" s="88"/>
      <c r="P103" s="86"/>
      <c r="Q103" s="86"/>
      <c r="R103" s="85"/>
      <c r="S103" s="88"/>
      <c r="T103" s="86"/>
      <c r="U103" s="86"/>
      <c r="V103" s="85"/>
    </row>
    <row r="104" spans="1:22" x14ac:dyDescent="0.2">
      <c r="A104" s="83">
        <f t="shared" si="19"/>
        <v>96</v>
      </c>
      <c r="B104" s="111" t="s">
        <v>160</v>
      </c>
      <c r="C104" s="13">
        <f t="shared" si="20"/>
        <v>0</v>
      </c>
      <c r="D104" s="86">
        <f t="shared" si="20"/>
        <v>0</v>
      </c>
      <c r="E104" s="86"/>
      <c r="F104" s="87"/>
      <c r="G104" s="88">
        <f t="shared" si="24"/>
        <v>0</v>
      </c>
      <c r="H104" s="86"/>
      <c r="I104" s="86"/>
      <c r="J104" s="85"/>
      <c r="K104" s="88"/>
      <c r="L104" s="86"/>
      <c r="M104" s="86"/>
      <c r="N104" s="85"/>
      <c r="O104" s="88"/>
      <c r="P104" s="86"/>
      <c r="Q104" s="86"/>
      <c r="R104" s="85"/>
      <c r="S104" s="88"/>
      <c r="T104" s="86"/>
      <c r="U104" s="86"/>
      <c r="V104" s="85"/>
    </row>
    <row r="105" spans="1:22" x14ac:dyDescent="0.2">
      <c r="A105" s="83">
        <v>97</v>
      </c>
      <c r="B105" s="111" t="s">
        <v>161</v>
      </c>
      <c r="C105" s="13">
        <f t="shared" si="20"/>
        <v>0</v>
      </c>
      <c r="D105" s="86">
        <f t="shared" si="20"/>
        <v>0</v>
      </c>
      <c r="E105" s="86"/>
      <c r="F105" s="87"/>
      <c r="G105" s="88">
        <f t="shared" si="24"/>
        <v>0</v>
      </c>
      <c r="H105" s="86"/>
      <c r="I105" s="86"/>
      <c r="J105" s="85"/>
      <c r="K105" s="88"/>
      <c r="L105" s="86"/>
      <c r="M105" s="86"/>
      <c r="N105" s="85"/>
      <c r="O105" s="88"/>
      <c r="P105" s="86"/>
      <c r="Q105" s="86"/>
      <c r="R105" s="85"/>
      <c r="S105" s="88"/>
      <c r="T105" s="86"/>
      <c r="U105" s="86"/>
      <c r="V105" s="85"/>
    </row>
    <row r="106" spans="1:22" x14ac:dyDescent="0.2">
      <c r="A106" s="83">
        <v>98</v>
      </c>
      <c r="B106" s="33" t="s">
        <v>162</v>
      </c>
      <c r="C106" s="13">
        <f t="shared" si="20"/>
        <v>0</v>
      </c>
      <c r="D106" s="86">
        <f t="shared" si="20"/>
        <v>0</v>
      </c>
      <c r="E106" s="86"/>
      <c r="F106" s="87"/>
      <c r="G106" s="88">
        <f t="shared" si="24"/>
        <v>0</v>
      </c>
      <c r="H106" s="86"/>
      <c r="I106" s="86"/>
      <c r="J106" s="85"/>
      <c r="K106" s="88"/>
      <c r="L106" s="86"/>
      <c r="M106" s="86"/>
      <c r="N106" s="85"/>
      <c r="O106" s="88"/>
      <c r="P106" s="86"/>
      <c r="Q106" s="86"/>
      <c r="R106" s="85"/>
      <c r="S106" s="88"/>
      <c r="T106" s="86"/>
      <c r="U106" s="86"/>
      <c r="V106" s="85"/>
    </row>
    <row r="107" spans="1:22" x14ac:dyDescent="0.2">
      <c r="A107" s="83">
        <v>99</v>
      </c>
      <c r="B107" s="33" t="s">
        <v>163</v>
      </c>
      <c r="C107" s="13">
        <f t="shared" si="20"/>
        <v>0</v>
      </c>
      <c r="D107" s="86">
        <f t="shared" si="20"/>
        <v>0</v>
      </c>
      <c r="E107" s="86"/>
      <c r="F107" s="87"/>
      <c r="G107" s="88">
        <f t="shared" si="24"/>
        <v>0</v>
      </c>
      <c r="H107" s="86"/>
      <c r="I107" s="86"/>
      <c r="J107" s="85"/>
      <c r="K107" s="88"/>
      <c r="L107" s="86"/>
      <c r="M107" s="86"/>
      <c r="N107" s="85"/>
      <c r="O107" s="88"/>
      <c r="P107" s="86"/>
      <c r="Q107" s="86"/>
      <c r="R107" s="85"/>
      <c r="S107" s="88"/>
      <c r="T107" s="86"/>
      <c r="U107" s="86"/>
      <c r="V107" s="85"/>
    </row>
    <row r="108" spans="1:22" x14ac:dyDescent="0.2">
      <c r="A108" s="83">
        <v>100</v>
      </c>
      <c r="B108" s="33" t="s">
        <v>164</v>
      </c>
      <c r="C108" s="13">
        <f t="shared" si="20"/>
        <v>0</v>
      </c>
      <c r="D108" s="86">
        <f t="shared" si="20"/>
        <v>0</v>
      </c>
      <c r="E108" s="86"/>
      <c r="F108" s="87"/>
      <c r="G108" s="88">
        <f t="shared" si="24"/>
        <v>0</v>
      </c>
      <c r="H108" s="86"/>
      <c r="I108" s="86"/>
      <c r="J108" s="85"/>
      <c r="K108" s="88"/>
      <c r="L108" s="86"/>
      <c r="M108" s="86"/>
      <c r="N108" s="85"/>
      <c r="O108" s="88"/>
      <c r="P108" s="86"/>
      <c r="Q108" s="86"/>
      <c r="R108" s="85"/>
      <c r="S108" s="88"/>
      <c r="T108" s="86"/>
      <c r="U108" s="86"/>
      <c r="V108" s="85"/>
    </row>
    <row r="109" spans="1:22" x14ac:dyDescent="0.2">
      <c r="A109" s="83">
        <v>101</v>
      </c>
      <c r="B109" s="33" t="s">
        <v>165</v>
      </c>
      <c r="C109" s="13">
        <f t="shared" si="20"/>
        <v>0</v>
      </c>
      <c r="D109" s="86">
        <f t="shared" si="20"/>
        <v>0</v>
      </c>
      <c r="E109" s="86"/>
      <c r="F109" s="87"/>
      <c r="G109" s="88">
        <f t="shared" si="24"/>
        <v>0</v>
      </c>
      <c r="H109" s="86"/>
      <c r="I109" s="86"/>
      <c r="J109" s="85"/>
      <c r="K109" s="88"/>
      <c r="L109" s="86"/>
      <c r="M109" s="86"/>
      <c r="N109" s="85"/>
      <c r="O109" s="88"/>
      <c r="P109" s="86"/>
      <c r="Q109" s="86"/>
      <c r="R109" s="85"/>
      <c r="S109" s="88"/>
      <c r="T109" s="86"/>
      <c r="U109" s="86"/>
      <c r="V109" s="85"/>
    </row>
    <row r="110" spans="1:22" x14ac:dyDescent="0.2">
      <c r="A110" s="83">
        <v>102</v>
      </c>
      <c r="B110" s="33" t="s">
        <v>166</v>
      </c>
      <c r="C110" s="13">
        <f t="shared" si="20"/>
        <v>0</v>
      </c>
      <c r="D110" s="86">
        <f t="shared" si="20"/>
        <v>0</v>
      </c>
      <c r="E110" s="86"/>
      <c r="F110" s="87"/>
      <c r="G110" s="88">
        <f t="shared" si="24"/>
        <v>0</v>
      </c>
      <c r="H110" s="86"/>
      <c r="I110" s="86"/>
      <c r="J110" s="85"/>
      <c r="K110" s="88"/>
      <c r="L110" s="86"/>
      <c r="M110" s="86"/>
      <c r="N110" s="85"/>
      <c r="O110" s="88"/>
      <c r="P110" s="86"/>
      <c r="Q110" s="86"/>
      <c r="R110" s="85"/>
      <c r="S110" s="88"/>
      <c r="T110" s="86"/>
      <c r="U110" s="86"/>
      <c r="V110" s="85"/>
    </row>
    <row r="111" spans="1:22" x14ac:dyDescent="0.2">
      <c r="A111" s="83">
        <v>103</v>
      </c>
      <c r="B111" s="18" t="s">
        <v>3</v>
      </c>
      <c r="C111" s="31">
        <f t="shared" si="20"/>
        <v>0</v>
      </c>
      <c r="D111" s="125">
        <f t="shared" si="20"/>
        <v>0</v>
      </c>
      <c r="E111" s="20">
        <f t="shared" si="20"/>
        <v>0</v>
      </c>
      <c r="F111" s="21">
        <f t="shared" si="20"/>
        <v>0</v>
      </c>
      <c r="G111" s="22">
        <f t="shared" si="24"/>
        <v>0</v>
      </c>
      <c r="H111" s="20"/>
      <c r="I111" s="20"/>
      <c r="J111" s="23"/>
      <c r="K111" s="88"/>
      <c r="L111" s="86"/>
      <c r="M111" s="86"/>
      <c r="N111" s="85"/>
      <c r="O111" s="88"/>
      <c r="P111" s="86"/>
      <c r="Q111" s="86"/>
      <c r="R111" s="85"/>
      <c r="S111" s="31">
        <f>T111+V111</f>
        <v>0</v>
      </c>
      <c r="T111" s="125"/>
      <c r="U111" s="20"/>
      <c r="V111" s="23"/>
    </row>
    <row r="112" spans="1:22" x14ac:dyDescent="0.2">
      <c r="A112" s="83">
        <v>104</v>
      </c>
      <c r="B112" s="33" t="s">
        <v>167</v>
      </c>
      <c r="C112" s="126">
        <f t="shared" si="20"/>
        <v>0</v>
      </c>
      <c r="D112" s="127">
        <f t="shared" si="20"/>
        <v>0</v>
      </c>
      <c r="E112" s="16"/>
      <c r="F112" s="24"/>
      <c r="G112" s="13">
        <f t="shared" si="24"/>
        <v>0</v>
      </c>
      <c r="H112" s="16"/>
      <c r="I112" s="20"/>
      <c r="J112" s="23"/>
      <c r="K112" s="88"/>
      <c r="L112" s="86"/>
      <c r="M112" s="86"/>
      <c r="N112" s="85"/>
      <c r="O112" s="88"/>
      <c r="P112" s="86"/>
      <c r="Q112" s="86"/>
      <c r="R112" s="85"/>
      <c r="S112" s="31"/>
      <c r="T112" s="125"/>
      <c r="U112" s="20"/>
      <c r="V112" s="23"/>
    </row>
    <row r="113" spans="1:22" x14ac:dyDescent="0.2">
      <c r="A113" s="83">
        <v>105</v>
      </c>
      <c r="B113" s="33" t="s">
        <v>168</v>
      </c>
      <c r="C113" s="126">
        <f t="shared" si="20"/>
        <v>0</v>
      </c>
      <c r="D113" s="127">
        <f t="shared" si="20"/>
        <v>0</v>
      </c>
      <c r="E113" s="16"/>
      <c r="F113" s="24"/>
      <c r="G113" s="13">
        <f t="shared" si="24"/>
        <v>0</v>
      </c>
      <c r="H113" s="16"/>
      <c r="I113" s="20"/>
      <c r="J113" s="23"/>
      <c r="K113" s="88"/>
      <c r="L113" s="86"/>
      <c r="M113" s="86"/>
      <c r="N113" s="85"/>
      <c r="O113" s="88"/>
      <c r="P113" s="86"/>
      <c r="Q113" s="86"/>
      <c r="R113" s="85"/>
      <c r="S113" s="31"/>
      <c r="T113" s="125"/>
      <c r="U113" s="20"/>
      <c r="V113" s="23"/>
    </row>
    <row r="114" spans="1:22" x14ac:dyDescent="0.2">
      <c r="A114" s="83">
        <v>106</v>
      </c>
      <c r="B114" s="18" t="s">
        <v>4</v>
      </c>
      <c r="C114" s="31">
        <f t="shared" si="20"/>
        <v>0</v>
      </c>
      <c r="D114" s="125">
        <f t="shared" si="20"/>
        <v>0</v>
      </c>
      <c r="E114" s="20">
        <f t="shared" si="20"/>
        <v>0</v>
      </c>
      <c r="F114" s="21">
        <f t="shared" si="20"/>
        <v>0</v>
      </c>
      <c r="G114" s="22">
        <f t="shared" si="24"/>
        <v>0</v>
      </c>
      <c r="H114" s="20"/>
      <c r="I114" s="20"/>
      <c r="J114" s="85"/>
      <c r="K114" s="88"/>
      <c r="L114" s="86"/>
      <c r="M114" s="86"/>
      <c r="N114" s="85"/>
      <c r="O114" s="88"/>
      <c r="P114" s="86"/>
      <c r="Q114" s="86"/>
      <c r="R114" s="85"/>
      <c r="S114" s="31">
        <f>T114+V114</f>
        <v>0</v>
      </c>
      <c r="T114" s="125"/>
      <c r="U114" s="20"/>
      <c r="V114" s="23"/>
    </row>
    <row r="115" spans="1:22" x14ac:dyDescent="0.2">
      <c r="A115" s="83">
        <v>107</v>
      </c>
      <c r="B115" s="128" t="s">
        <v>89</v>
      </c>
      <c r="C115" s="13">
        <f t="shared" si="20"/>
        <v>0</v>
      </c>
      <c r="D115" s="16">
        <f t="shared" si="20"/>
        <v>0</v>
      </c>
      <c r="E115" s="16"/>
      <c r="F115" s="24"/>
      <c r="G115" s="13">
        <f t="shared" si="24"/>
        <v>0</v>
      </c>
      <c r="H115" s="16"/>
      <c r="I115" s="20"/>
      <c r="J115" s="85"/>
      <c r="K115" s="88"/>
      <c r="L115" s="86"/>
      <c r="M115" s="86"/>
      <c r="N115" s="85"/>
      <c r="O115" s="88"/>
      <c r="P115" s="86"/>
      <c r="Q115" s="86"/>
      <c r="R115" s="85"/>
      <c r="S115" s="22"/>
      <c r="T115" s="20"/>
      <c r="U115" s="20"/>
      <c r="V115" s="23"/>
    </row>
    <row r="116" spans="1:22" x14ac:dyDescent="0.2">
      <c r="A116" s="83">
        <v>108</v>
      </c>
      <c r="B116" s="128" t="s">
        <v>90</v>
      </c>
      <c r="C116" s="13">
        <f t="shared" si="20"/>
        <v>0</v>
      </c>
      <c r="D116" s="16">
        <f t="shared" si="20"/>
        <v>0</v>
      </c>
      <c r="E116" s="16"/>
      <c r="F116" s="24"/>
      <c r="G116" s="13">
        <f t="shared" si="24"/>
        <v>0</v>
      </c>
      <c r="H116" s="16"/>
      <c r="I116" s="20"/>
      <c r="J116" s="85"/>
      <c r="K116" s="88"/>
      <c r="L116" s="86"/>
      <c r="M116" s="86"/>
      <c r="N116" s="85"/>
      <c r="O116" s="88"/>
      <c r="P116" s="86"/>
      <c r="Q116" s="86"/>
      <c r="R116" s="85"/>
      <c r="S116" s="22"/>
      <c r="T116" s="20"/>
      <c r="U116" s="20"/>
      <c r="V116" s="23"/>
    </row>
    <row r="117" spans="1:22" x14ac:dyDescent="0.2">
      <c r="A117" s="83">
        <v>109</v>
      </c>
      <c r="B117" s="18" t="s">
        <v>169</v>
      </c>
      <c r="C117" s="22">
        <f t="shared" si="20"/>
        <v>0</v>
      </c>
      <c r="D117" s="20">
        <f t="shared" si="20"/>
        <v>0</v>
      </c>
      <c r="E117" s="20">
        <f t="shared" si="20"/>
        <v>0</v>
      </c>
      <c r="F117" s="21"/>
      <c r="G117" s="22">
        <f t="shared" si="24"/>
        <v>0</v>
      </c>
      <c r="H117" s="20"/>
      <c r="I117" s="20"/>
      <c r="J117" s="23"/>
      <c r="K117" s="88"/>
      <c r="L117" s="86"/>
      <c r="M117" s="86"/>
      <c r="N117" s="85"/>
      <c r="O117" s="88"/>
      <c r="P117" s="86"/>
      <c r="Q117" s="86"/>
      <c r="R117" s="85"/>
      <c r="S117" s="22">
        <f>T117+V117</f>
        <v>0</v>
      </c>
      <c r="T117" s="20"/>
      <c r="U117" s="20"/>
      <c r="V117" s="23"/>
    </row>
    <row r="118" spans="1:22" x14ac:dyDescent="0.2">
      <c r="A118" s="83">
        <v>110</v>
      </c>
      <c r="B118" s="47" t="s">
        <v>5</v>
      </c>
      <c r="C118" s="22">
        <f t="shared" si="20"/>
        <v>0</v>
      </c>
      <c r="D118" s="20">
        <f t="shared" si="20"/>
        <v>0</v>
      </c>
      <c r="E118" s="20"/>
      <c r="F118" s="21"/>
      <c r="G118" s="22">
        <f t="shared" si="24"/>
        <v>0</v>
      </c>
      <c r="H118" s="20"/>
      <c r="I118" s="20"/>
      <c r="J118" s="23"/>
      <c r="K118" s="88"/>
      <c r="L118" s="86"/>
      <c r="M118" s="86"/>
      <c r="N118" s="85"/>
      <c r="O118" s="88"/>
      <c r="P118" s="86"/>
      <c r="Q118" s="86"/>
      <c r="R118" s="85"/>
      <c r="S118" s="22"/>
      <c r="T118" s="20"/>
      <c r="U118" s="20"/>
      <c r="V118" s="23"/>
    </row>
    <row r="119" spans="1:22" x14ac:dyDescent="0.2">
      <c r="A119" s="83">
        <v>111</v>
      </c>
      <c r="B119" s="129" t="s">
        <v>170</v>
      </c>
      <c r="C119" s="13">
        <f t="shared" si="20"/>
        <v>0</v>
      </c>
      <c r="D119" s="16">
        <f t="shared" si="20"/>
        <v>0</v>
      </c>
      <c r="E119" s="16"/>
      <c r="F119" s="24"/>
      <c r="G119" s="13">
        <f t="shared" si="24"/>
        <v>0</v>
      </c>
      <c r="H119" s="16"/>
      <c r="I119" s="20"/>
      <c r="J119" s="23"/>
      <c r="K119" s="88"/>
      <c r="L119" s="86"/>
      <c r="M119" s="86"/>
      <c r="N119" s="85"/>
      <c r="O119" s="88"/>
      <c r="P119" s="86"/>
      <c r="Q119" s="86"/>
      <c r="R119" s="85"/>
      <c r="S119" s="22"/>
      <c r="T119" s="20"/>
      <c r="U119" s="20"/>
      <c r="V119" s="23"/>
    </row>
    <row r="120" spans="1:22" x14ac:dyDescent="0.2">
      <c r="A120" s="83">
        <v>112</v>
      </c>
      <c r="B120" s="129" t="s">
        <v>92</v>
      </c>
      <c r="C120" s="13">
        <f t="shared" si="20"/>
        <v>0</v>
      </c>
      <c r="D120" s="16">
        <f t="shared" si="20"/>
        <v>0</v>
      </c>
      <c r="E120" s="16"/>
      <c r="F120" s="24"/>
      <c r="G120" s="13">
        <f t="shared" si="24"/>
        <v>0</v>
      </c>
      <c r="H120" s="16"/>
      <c r="I120" s="20"/>
      <c r="J120" s="23"/>
      <c r="K120" s="88"/>
      <c r="L120" s="86"/>
      <c r="M120" s="86"/>
      <c r="N120" s="85"/>
      <c r="O120" s="88"/>
      <c r="P120" s="86"/>
      <c r="Q120" s="86"/>
      <c r="R120" s="85"/>
      <c r="S120" s="22"/>
      <c r="T120" s="20"/>
      <c r="U120" s="20"/>
      <c r="V120" s="23"/>
    </row>
    <row r="121" spans="1:22" ht="25.5" x14ac:dyDescent="0.2">
      <c r="A121" s="83">
        <v>113</v>
      </c>
      <c r="B121" s="130" t="s">
        <v>93</v>
      </c>
      <c r="C121" s="13">
        <f t="shared" si="20"/>
        <v>0</v>
      </c>
      <c r="D121" s="16">
        <f t="shared" si="20"/>
        <v>0</v>
      </c>
      <c r="E121" s="16"/>
      <c r="F121" s="24"/>
      <c r="G121" s="13">
        <f t="shared" si="24"/>
        <v>0</v>
      </c>
      <c r="H121" s="16"/>
      <c r="I121" s="20"/>
      <c r="J121" s="23"/>
      <c r="K121" s="88"/>
      <c r="L121" s="86"/>
      <c r="M121" s="86"/>
      <c r="N121" s="85"/>
      <c r="O121" s="88"/>
      <c r="P121" s="86"/>
      <c r="Q121" s="86"/>
      <c r="R121" s="85"/>
      <c r="S121" s="22"/>
      <c r="T121" s="20"/>
      <c r="U121" s="20"/>
      <c r="V121" s="23"/>
    </row>
    <row r="122" spans="1:22" ht="25.5" x14ac:dyDescent="0.2">
      <c r="A122" s="83">
        <v>114</v>
      </c>
      <c r="B122" s="27" t="s">
        <v>33</v>
      </c>
      <c r="C122" s="22">
        <f t="shared" si="20"/>
        <v>0</v>
      </c>
      <c r="D122" s="20">
        <f t="shared" si="20"/>
        <v>0</v>
      </c>
      <c r="E122" s="20">
        <f t="shared" si="20"/>
        <v>0</v>
      </c>
      <c r="F122" s="21"/>
      <c r="G122" s="22">
        <f t="shared" si="24"/>
        <v>0</v>
      </c>
      <c r="H122" s="20"/>
      <c r="I122" s="20"/>
      <c r="J122" s="23"/>
      <c r="K122" s="88"/>
      <c r="L122" s="86"/>
      <c r="M122" s="86"/>
      <c r="N122" s="85"/>
      <c r="O122" s="88"/>
      <c r="P122" s="86"/>
      <c r="Q122" s="86"/>
      <c r="R122" s="85"/>
      <c r="S122" s="22">
        <f>T122+V122</f>
        <v>0</v>
      </c>
      <c r="T122" s="20"/>
      <c r="U122" s="20"/>
      <c r="V122" s="23"/>
    </row>
    <row r="123" spans="1:22" x14ac:dyDescent="0.2">
      <c r="A123" s="83">
        <v>115</v>
      </c>
      <c r="B123" s="18" t="s">
        <v>7</v>
      </c>
      <c r="C123" s="22">
        <f t="shared" si="20"/>
        <v>0</v>
      </c>
      <c r="D123" s="20">
        <f t="shared" si="20"/>
        <v>0</v>
      </c>
      <c r="E123" s="20">
        <f t="shared" si="20"/>
        <v>0</v>
      </c>
      <c r="F123" s="21"/>
      <c r="G123" s="22">
        <f t="shared" si="24"/>
        <v>0</v>
      </c>
      <c r="H123" s="20"/>
      <c r="I123" s="20"/>
      <c r="J123" s="25"/>
      <c r="K123" s="88"/>
      <c r="L123" s="86"/>
      <c r="M123" s="86"/>
      <c r="N123" s="85"/>
      <c r="O123" s="88"/>
      <c r="P123" s="86"/>
      <c r="Q123" s="86"/>
      <c r="R123" s="85"/>
      <c r="S123" s="22">
        <f t="shared" ref="S123:S131" si="25">T123+V123</f>
        <v>0</v>
      </c>
      <c r="T123" s="20"/>
      <c r="U123" s="16"/>
      <c r="V123" s="25"/>
    </row>
    <row r="124" spans="1:22" x14ac:dyDescent="0.2">
      <c r="A124" s="83">
        <f t="shared" si="19"/>
        <v>116</v>
      </c>
      <c r="B124" s="18" t="s">
        <v>8</v>
      </c>
      <c r="C124" s="22">
        <f t="shared" si="20"/>
        <v>0</v>
      </c>
      <c r="D124" s="20">
        <f t="shared" si="20"/>
        <v>0</v>
      </c>
      <c r="E124" s="20">
        <f t="shared" si="20"/>
        <v>0</v>
      </c>
      <c r="F124" s="21"/>
      <c r="G124" s="22">
        <f t="shared" si="24"/>
        <v>0</v>
      </c>
      <c r="H124" s="20"/>
      <c r="I124" s="20"/>
      <c r="J124" s="25"/>
      <c r="K124" s="88"/>
      <c r="L124" s="86"/>
      <c r="M124" s="86"/>
      <c r="N124" s="85"/>
      <c r="O124" s="88"/>
      <c r="P124" s="86"/>
      <c r="Q124" s="86"/>
      <c r="R124" s="85"/>
      <c r="S124" s="22">
        <f t="shared" si="25"/>
        <v>0</v>
      </c>
      <c r="T124" s="20"/>
      <c r="U124" s="16"/>
      <c r="V124" s="25"/>
    </row>
    <row r="125" spans="1:22" x14ac:dyDescent="0.2">
      <c r="A125" s="83">
        <f t="shared" si="19"/>
        <v>117</v>
      </c>
      <c r="B125" s="18" t="s">
        <v>9</v>
      </c>
      <c r="C125" s="22">
        <f t="shared" si="20"/>
        <v>0</v>
      </c>
      <c r="D125" s="20">
        <f t="shared" si="20"/>
        <v>0</v>
      </c>
      <c r="E125" s="20">
        <f t="shared" si="20"/>
        <v>0</v>
      </c>
      <c r="F125" s="21"/>
      <c r="G125" s="22">
        <f t="shared" si="24"/>
        <v>0</v>
      </c>
      <c r="H125" s="20"/>
      <c r="I125" s="20"/>
      <c r="J125" s="23"/>
      <c r="K125" s="88"/>
      <c r="L125" s="86"/>
      <c r="M125" s="86"/>
      <c r="N125" s="85"/>
      <c r="O125" s="88"/>
      <c r="P125" s="86"/>
      <c r="Q125" s="86"/>
      <c r="R125" s="85"/>
      <c r="S125" s="22">
        <f t="shared" si="25"/>
        <v>0</v>
      </c>
      <c r="T125" s="20"/>
      <c r="U125" s="16"/>
      <c r="V125" s="25"/>
    </row>
    <row r="126" spans="1:22" x14ac:dyDescent="0.2">
      <c r="A126" s="83">
        <f t="shared" si="19"/>
        <v>118</v>
      </c>
      <c r="B126" s="18" t="s">
        <v>10</v>
      </c>
      <c r="C126" s="22">
        <f t="shared" si="20"/>
        <v>0</v>
      </c>
      <c r="D126" s="20">
        <f t="shared" si="20"/>
        <v>0</v>
      </c>
      <c r="E126" s="20">
        <f t="shared" si="20"/>
        <v>0</v>
      </c>
      <c r="F126" s="21"/>
      <c r="G126" s="22">
        <f t="shared" si="24"/>
        <v>0</v>
      </c>
      <c r="H126" s="20"/>
      <c r="I126" s="20"/>
      <c r="J126" s="25"/>
      <c r="K126" s="88"/>
      <c r="L126" s="86"/>
      <c r="M126" s="86"/>
      <c r="N126" s="85"/>
      <c r="O126" s="88"/>
      <c r="P126" s="86"/>
      <c r="Q126" s="86"/>
      <c r="R126" s="85"/>
      <c r="S126" s="22"/>
      <c r="T126" s="20"/>
      <c r="U126" s="16"/>
      <c r="V126" s="25"/>
    </row>
    <row r="127" spans="1:22" x14ac:dyDescent="0.2">
      <c r="A127" s="83">
        <f t="shared" si="19"/>
        <v>119</v>
      </c>
      <c r="B127" s="18" t="s">
        <v>11</v>
      </c>
      <c r="C127" s="22">
        <f t="shared" si="20"/>
        <v>0</v>
      </c>
      <c r="D127" s="20">
        <f t="shared" si="20"/>
        <v>0</v>
      </c>
      <c r="E127" s="20">
        <f t="shared" si="20"/>
        <v>0</v>
      </c>
      <c r="F127" s="21"/>
      <c r="G127" s="22">
        <f t="shared" si="24"/>
        <v>0</v>
      </c>
      <c r="H127" s="20"/>
      <c r="I127" s="20"/>
      <c r="J127" s="25"/>
      <c r="K127" s="88"/>
      <c r="L127" s="86"/>
      <c r="M127" s="86"/>
      <c r="N127" s="85"/>
      <c r="O127" s="88"/>
      <c r="P127" s="86"/>
      <c r="Q127" s="86"/>
      <c r="R127" s="85"/>
      <c r="S127" s="22">
        <f t="shared" si="25"/>
        <v>0</v>
      </c>
      <c r="T127" s="20"/>
      <c r="U127" s="20"/>
      <c r="V127" s="25"/>
    </row>
    <row r="128" spans="1:22" x14ac:dyDescent="0.2">
      <c r="A128" s="83">
        <f t="shared" si="19"/>
        <v>120</v>
      </c>
      <c r="B128" s="18" t="s">
        <v>12</v>
      </c>
      <c r="C128" s="22">
        <f t="shared" si="20"/>
        <v>0</v>
      </c>
      <c r="D128" s="20">
        <f t="shared" si="20"/>
        <v>0</v>
      </c>
      <c r="E128" s="20">
        <f t="shared" si="20"/>
        <v>0</v>
      </c>
      <c r="F128" s="21"/>
      <c r="G128" s="22">
        <f t="shared" si="24"/>
        <v>0</v>
      </c>
      <c r="H128" s="20"/>
      <c r="I128" s="20"/>
      <c r="J128" s="25"/>
      <c r="K128" s="88"/>
      <c r="L128" s="86"/>
      <c r="M128" s="86"/>
      <c r="N128" s="85"/>
      <c r="O128" s="88"/>
      <c r="P128" s="86"/>
      <c r="Q128" s="86"/>
      <c r="R128" s="85"/>
      <c r="S128" s="22">
        <f t="shared" si="25"/>
        <v>0</v>
      </c>
      <c r="T128" s="20"/>
      <c r="U128" s="16"/>
      <c r="V128" s="25"/>
    </row>
    <row r="129" spans="1:22" x14ac:dyDescent="0.2">
      <c r="A129" s="83">
        <f t="shared" si="19"/>
        <v>121</v>
      </c>
      <c r="B129" s="18" t="s">
        <v>13</v>
      </c>
      <c r="C129" s="22">
        <f t="shared" si="20"/>
        <v>0</v>
      </c>
      <c r="D129" s="20">
        <f t="shared" si="20"/>
        <v>0</v>
      </c>
      <c r="E129" s="20">
        <f t="shared" si="20"/>
        <v>0</v>
      </c>
      <c r="F129" s="21"/>
      <c r="G129" s="22">
        <f t="shared" si="24"/>
        <v>0</v>
      </c>
      <c r="H129" s="20"/>
      <c r="I129" s="20"/>
      <c r="J129" s="25"/>
      <c r="K129" s="88"/>
      <c r="L129" s="86"/>
      <c r="M129" s="86"/>
      <c r="N129" s="85"/>
      <c r="O129" s="88"/>
      <c r="P129" s="86"/>
      <c r="Q129" s="86"/>
      <c r="R129" s="85"/>
      <c r="S129" s="22"/>
      <c r="T129" s="20"/>
      <c r="U129" s="16"/>
      <c r="V129" s="25"/>
    </row>
    <row r="130" spans="1:22" x14ac:dyDescent="0.2">
      <c r="A130" s="83">
        <f t="shared" si="19"/>
        <v>122</v>
      </c>
      <c r="B130" s="18" t="s">
        <v>14</v>
      </c>
      <c r="C130" s="22">
        <f t="shared" si="20"/>
        <v>0</v>
      </c>
      <c r="D130" s="20">
        <f t="shared" si="20"/>
        <v>0</v>
      </c>
      <c r="E130" s="20"/>
      <c r="F130" s="21"/>
      <c r="G130" s="22">
        <f t="shared" si="24"/>
        <v>0</v>
      </c>
      <c r="H130" s="20"/>
      <c r="I130" s="20"/>
      <c r="J130" s="25"/>
      <c r="K130" s="88"/>
      <c r="L130" s="86"/>
      <c r="M130" s="86"/>
      <c r="N130" s="85"/>
      <c r="O130" s="88"/>
      <c r="P130" s="86"/>
      <c r="Q130" s="86"/>
      <c r="R130" s="85"/>
      <c r="S130" s="22"/>
      <c r="T130" s="20"/>
      <c r="U130" s="16"/>
      <c r="V130" s="25"/>
    </row>
    <row r="131" spans="1:22" x14ac:dyDescent="0.2">
      <c r="A131" s="83">
        <f t="shared" si="19"/>
        <v>123</v>
      </c>
      <c r="B131" s="18" t="s">
        <v>28</v>
      </c>
      <c r="C131" s="22">
        <f t="shared" si="20"/>
        <v>0</v>
      </c>
      <c r="D131" s="20">
        <f t="shared" si="20"/>
        <v>0</v>
      </c>
      <c r="E131" s="20">
        <f t="shared" si="20"/>
        <v>0</v>
      </c>
      <c r="F131" s="21"/>
      <c r="G131" s="22">
        <f t="shared" si="24"/>
        <v>0</v>
      </c>
      <c r="H131" s="20"/>
      <c r="I131" s="20"/>
      <c r="J131" s="25"/>
      <c r="K131" s="88"/>
      <c r="L131" s="86"/>
      <c r="M131" s="86"/>
      <c r="N131" s="85"/>
      <c r="O131" s="88"/>
      <c r="P131" s="86"/>
      <c r="Q131" s="86"/>
      <c r="R131" s="85"/>
      <c r="S131" s="22">
        <f t="shared" si="25"/>
        <v>0</v>
      </c>
      <c r="T131" s="20"/>
      <c r="U131" s="16"/>
      <c r="V131" s="25"/>
    </row>
    <row r="132" spans="1:22" x14ac:dyDescent="0.2">
      <c r="A132" s="83">
        <f t="shared" si="19"/>
        <v>124</v>
      </c>
      <c r="B132" s="18" t="s">
        <v>16</v>
      </c>
      <c r="C132" s="22">
        <f t="shared" si="20"/>
        <v>0</v>
      </c>
      <c r="D132" s="20">
        <f t="shared" si="20"/>
        <v>0</v>
      </c>
      <c r="E132" s="20"/>
      <c r="F132" s="21"/>
      <c r="G132" s="28">
        <f t="shared" si="24"/>
        <v>0</v>
      </c>
      <c r="H132" s="20"/>
      <c r="I132" s="20"/>
      <c r="J132" s="25"/>
      <c r="K132" s="88"/>
      <c r="L132" s="86"/>
      <c r="M132" s="86"/>
      <c r="N132" s="85"/>
      <c r="O132" s="88"/>
      <c r="P132" s="86"/>
      <c r="Q132" s="86"/>
      <c r="R132" s="85"/>
      <c r="S132" s="22"/>
      <c r="T132" s="16"/>
      <c r="U132" s="16"/>
      <c r="V132" s="25"/>
    </row>
    <row r="133" spans="1:22" x14ac:dyDescent="0.2">
      <c r="A133" s="83">
        <f t="shared" si="19"/>
        <v>125</v>
      </c>
      <c r="B133" s="18" t="s">
        <v>171</v>
      </c>
      <c r="C133" s="22">
        <f t="shared" si="20"/>
        <v>0</v>
      </c>
      <c r="D133" s="20">
        <f t="shared" si="20"/>
        <v>0</v>
      </c>
      <c r="E133" s="20"/>
      <c r="F133" s="21"/>
      <c r="G133" s="28">
        <f>G134</f>
        <v>0</v>
      </c>
      <c r="H133" s="20"/>
      <c r="I133" s="20"/>
      <c r="J133" s="90"/>
      <c r="K133" s="95"/>
      <c r="L133" s="86"/>
      <c r="M133" s="86"/>
      <c r="N133" s="90"/>
      <c r="O133" s="95"/>
      <c r="P133" s="86"/>
      <c r="Q133" s="86"/>
      <c r="R133" s="90"/>
      <c r="S133" s="95"/>
      <c r="T133" s="86"/>
      <c r="U133" s="86"/>
      <c r="V133" s="90"/>
    </row>
    <row r="134" spans="1:22" x14ac:dyDescent="0.2">
      <c r="A134" s="83">
        <f t="shared" si="19"/>
        <v>126</v>
      </c>
      <c r="B134" s="18" t="s">
        <v>172</v>
      </c>
      <c r="C134" s="13">
        <f t="shared" si="20"/>
        <v>0</v>
      </c>
      <c r="D134" s="16">
        <f t="shared" si="20"/>
        <v>0</v>
      </c>
      <c r="E134" s="20"/>
      <c r="F134" s="21"/>
      <c r="G134" s="95">
        <f t="shared" si="24"/>
        <v>0</v>
      </c>
      <c r="H134" s="16"/>
      <c r="I134" s="20"/>
      <c r="J134" s="90"/>
      <c r="K134" s="95"/>
      <c r="L134" s="86"/>
      <c r="M134" s="86"/>
      <c r="N134" s="90"/>
      <c r="O134" s="95"/>
      <c r="P134" s="86"/>
      <c r="Q134" s="86"/>
      <c r="R134" s="90"/>
      <c r="S134" s="28"/>
      <c r="T134" s="20"/>
      <c r="U134" s="20"/>
      <c r="V134" s="29"/>
    </row>
    <row r="135" spans="1:22" x14ac:dyDescent="0.2">
      <c r="A135" s="83">
        <f t="shared" si="19"/>
        <v>127</v>
      </c>
      <c r="B135" s="18" t="s">
        <v>136</v>
      </c>
      <c r="C135" s="22">
        <f t="shared" si="20"/>
        <v>0</v>
      </c>
      <c r="D135" s="20">
        <f t="shared" si="20"/>
        <v>0</v>
      </c>
      <c r="E135" s="20"/>
      <c r="F135" s="21"/>
      <c r="G135" s="28">
        <f>G136+G137</f>
        <v>0</v>
      </c>
      <c r="H135" s="20"/>
      <c r="I135" s="86"/>
      <c r="J135" s="90"/>
      <c r="K135" s="95"/>
      <c r="L135" s="86"/>
      <c r="M135" s="86"/>
      <c r="N135" s="90"/>
      <c r="O135" s="95"/>
      <c r="P135" s="86"/>
      <c r="Q135" s="86"/>
      <c r="R135" s="90"/>
      <c r="S135" s="95"/>
      <c r="T135" s="86"/>
      <c r="U135" s="86"/>
      <c r="V135" s="90"/>
    </row>
    <row r="136" spans="1:22" x14ac:dyDescent="0.2">
      <c r="A136" s="83">
        <f t="shared" si="19"/>
        <v>128</v>
      </c>
      <c r="B136" s="33" t="s">
        <v>173</v>
      </c>
      <c r="C136" s="13">
        <f t="shared" si="20"/>
        <v>0</v>
      </c>
      <c r="D136" s="16">
        <f t="shared" si="20"/>
        <v>0</v>
      </c>
      <c r="E136" s="20"/>
      <c r="F136" s="21"/>
      <c r="G136" s="88">
        <f t="shared" si="24"/>
        <v>0</v>
      </c>
      <c r="H136" s="16"/>
      <c r="I136" s="20"/>
      <c r="J136" s="85"/>
      <c r="K136" s="88"/>
      <c r="L136" s="86"/>
      <c r="M136" s="86"/>
      <c r="N136" s="85"/>
      <c r="O136" s="88"/>
      <c r="P136" s="86"/>
      <c r="Q136" s="86"/>
      <c r="R136" s="85"/>
      <c r="S136" s="22"/>
      <c r="T136" s="20"/>
      <c r="U136" s="20"/>
      <c r="V136" s="23"/>
    </row>
    <row r="137" spans="1:22" x14ac:dyDescent="0.2">
      <c r="A137" s="83">
        <f t="shared" si="19"/>
        <v>129</v>
      </c>
      <c r="B137" s="131" t="s">
        <v>174</v>
      </c>
      <c r="C137" s="13">
        <f t="shared" si="20"/>
        <v>0</v>
      </c>
      <c r="D137" s="16">
        <f t="shared" si="20"/>
        <v>0</v>
      </c>
      <c r="E137" s="20"/>
      <c r="F137" s="21"/>
      <c r="G137" s="88">
        <f t="shared" si="24"/>
        <v>0</v>
      </c>
      <c r="H137" s="16"/>
      <c r="I137" s="20"/>
      <c r="J137" s="85"/>
      <c r="K137" s="88"/>
      <c r="L137" s="86"/>
      <c r="M137" s="86"/>
      <c r="N137" s="85"/>
      <c r="O137" s="88"/>
      <c r="P137" s="86"/>
      <c r="Q137" s="86"/>
      <c r="R137" s="85"/>
      <c r="S137" s="22"/>
      <c r="T137" s="20"/>
      <c r="U137" s="20"/>
      <c r="V137" s="23"/>
    </row>
    <row r="138" spans="1:22" x14ac:dyDescent="0.2">
      <c r="A138" s="83">
        <v>130</v>
      </c>
      <c r="B138" s="18" t="s">
        <v>109</v>
      </c>
      <c r="C138" s="22">
        <f>G138+K138+O138+S138</f>
        <v>37.466999999999999</v>
      </c>
      <c r="D138" s="20">
        <f>H138+L138+P138+T138</f>
        <v>37.466999999999999</v>
      </c>
      <c r="E138" s="20">
        <f t="shared" si="20"/>
        <v>18.872</v>
      </c>
      <c r="F138" s="21"/>
      <c r="G138" s="22">
        <f>+H138</f>
        <v>33.466999999999999</v>
      </c>
      <c r="H138" s="20">
        <v>33.466999999999999</v>
      </c>
      <c r="I138" s="20">
        <v>18.872</v>
      </c>
      <c r="J138" s="85"/>
      <c r="K138" s="88"/>
      <c r="L138" s="86"/>
      <c r="M138" s="86"/>
      <c r="N138" s="85"/>
      <c r="O138" s="88"/>
      <c r="P138" s="86"/>
      <c r="Q138" s="86"/>
      <c r="R138" s="85"/>
      <c r="S138" s="22">
        <f>T138+V138</f>
        <v>4</v>
      </c>
      <c r="T138" s="20">
        <v>4</v>
      </c>
      <c r="U138" s="20"/>
      <c r="V138" s="23"/>
    </row>
    <row r="139" spans="1:22" ht="13.5" thickBot="1" x14ac:dyDescent="0.25">
      <c r="A139" s="112">
        <v>131</v>
      </c>
      <c r="B139" s="35" t="s">
        <v>153</v>
      </c>
      <c r="C139" s="39">
        <f>G139+K139+O139+S139</f>
        <v>27.847999999999999</v>
      </c>
      <c r="D139" s="37">
        <f>H139+L139+P139+T139</f>
        <v>27.847999999999999</v>
      </c>
      <c r="E139" s="37">
        <f>I139+M139+Q139+U139</f>
        <v>19.053999999999998</v>
      </c>
      <c r="F139" s="38"/>
      <c r="G139" s="50">
        <f>+H139</f>
        <v>27.448</v>
      </c>
      <c r="H139" s="49">
        <v>27.448</v>
      </c>
      <c r="I139" s="49">
        <v>19.053999999999998</v>
      </c>
      <c r="J139" s="115"/>
      <c r="K139" s="132"/>
      <c r="L139" s="133"/>
      <c r="M139" s="133"/>
      <c r="N139" s="134"/>
      <c r="O139" s="132"/>
      <c r="P139" s="133"/>
      <c r="Q139" s="133"/>
      <c r="R139" s="134"/>
      <c r="S139" s="22">
        <f>T139+V139</f>
        <v>0.4</v>
      </c>
      <c r="T139" s="37">
        <v>0.4</v>
      </c>
      <c r="U139" s="37"/>
      <c r="V139" s="40"/>
    </row>
    <row r="140" spans="1:22" ht="45.75" thickBot="1" x14ac:dyDescent="0.25">
      <c r="A140" s="63">
        <v>132</v>
      </c>
      <c r="B140" s="135" t="s">
        <v>175</v>
      </c>
      <c r="C140" s="65">
        <f t="shared" si="20"/>
        <v>0</v>
      </c>
      <c r="D140" s="53">
        <f t="shared" si="20"/>
        <v>0</v>
      </c>
      <c r="E140" s="53">
        <f t="shared" si="20"/>
        <v>0</v>
      </c>
      <c r="F140" s="56">
        <f t="shared" si="20"/>
        <v>0</v>
      </c>
      <c r="G140" s="65">
        <f>G141+SUM(G157:G168)+G170+G173</f>
        <v>0</v>
      </c>
      <c r="H140" s="55">
        <f>H141+SUM(H157:H168)+H170+H173</f>
        <v>0</v>
      </c>
      <c r="I140" s="53">
        <f>I141+SUM(I157:I168)+I170+I173</f>
        <v>0</v>
      </c>
      <c r="J140" s="58">
        <f>J141+SUM(J157:J168)+J170+J173</f>
        <v>0</v>
      </c>
      <c r="K140" s="66">
        <f>K141+SUM(K158:K168)+K173</f>
        <v>0</v>
      </c>
      <c r="L140" s="53">
        <f>L141+SUM(L158:L168)+L173</f>
        <v>0</v>
      </c>
      <c r="M140" s="53">
        <f>M141+SUM(M157:M168)+M170+M173</f>
        <v>0</v>
      </c>
      <c r="N140" s="58"/>
      <c r="O140" s="65"/>
      <c r="P140" s="53"/>
      <c r="Q140" s="53"/>
      <c r="R140" s="58"/>
      <c r="S140" s="65">
        <f>S141+SUM(S157:S168)+S170+S173</f>
        <v>0</v>
      </c>
      <c r="T140" s="53">
        <f>T157+T173</f>
        <v>0</v>
      </c>
      <c r="U140" s="53">
        <f>U157+U173</f>
        <v>0</v>
      </c>
      <c r="V140" s="58"/>
    </row>
    <row r="141" spans="1:22" x14ac:dyDescent="0.2">
      <c r="A141" s="68">
        <f t="shared" si="19"/>
        <v>133</v>
      </c>
      <c r="B141" s="82" t="s">
        <v>121</v>
      </c>
      <c r="C141" s="77">
        <f t="shared" si="20"/>
        <v>0</v>
      </c>
      <c r="D141" s="75">
        <f t="shared" si="20"/>
        <v>0</v>
      </c>
      <c r="E141" s="75"/>
      <c r="F141" s="78">
        <f t="shared" si="20"/>
        <v>0</v>
      </c>
      <c r="G141" s="75">
        <f>SUM(G142:G156)</f>
        <v>0</v>
      </c>
      <c r="H141" s="75">
        <f>SUM(H142:H156)</f>
        <v>0</v>
      </c>
      <c r="I141" s="75"/>
      <c r="J141" s="79">
        <f>SUM(J142:J156)</f>
        <v>0</v>
      </c>
      <c r="K141" s="80">
        <f>SUM(K142:K153)+K154</f>
        <v>0</v>
      </c>
      <c r="L141" s="75">
        <f>SUM(L142:L153)</f>
        <v>0</v>
      </c>
      <c r="M141" s="75">
        <f>SUM(M142:M153)</f>
        <v>0</v>
      </c>
      <c r="N141" s="105"/>
      <c r="O141" s="124"/>
      <c r="P141" s="109"/>
      <c r="Q141" s="109"/>
      <c r="R141" s="105"/>
      <c r="S141" s="124"/>
      <c r="T141" s="109"/>
      <c r="U141" s="109"/>
      <c r="V141" s="105"/>
    </row>
    <row r="142" spans="1:22" x14ac:dyDescent="0.2">
      <c r="A142" s="83">
        <f t="shared" si="19"/>
        <v>134</v>
      </c>
      <c r="B142" s="33" t="s">
        <v>176</v>
      </c>
      <c r="C142" s="13">
        <f t="shared" si="20"/>
        <v>0</v>
      </c>
      <c r="D142" s="86">
        <f t="shared" si="20"/>
        <v>0</v>
      </c>
      <c r="E142" s="20"/>
      <c r="F142" s="23"/>
      <c r="G142" s="92">
        <f t="shared" si="24"/>
        <v>0</v>
      </c>
      <c r="H142" s="86"/>
      <c r="I142" s="86"/>
      <c r="J142" s="87"/>
      <c r="K142" s="88"/>
      <c r="L142" s="86"/>
      <c r="M142" s="86"/>
      <c r="N142" s="85"/>
      <c r="O142" s="88"/>
      <c r="P142" s="86"/>
      <c r="Q142" s="86"/>
      <c r="R142" s="85"/>
      <c r="S142" s="88"/>
      <c r="T142" s="86"/>
      <c r="U142" s="86"/>
      <c r="V142" s="85"/>
    </row>
    <row r="143" spans="1:22" x14ac:dyDescent="0.2">
      <c r="A143" s="83">
        <f>+A142+1</f>
        <v>135</v>
      </c>
      <c r="B143" s="33" t="s">
        <v>177</v>
      </c>
      <c r="C143" s="13">
        <f t="shared" si="20"/>
        <v>0</v>
      </c>
      <c r="D143" s="86">
        <f t="shared" si="20"/>
        <v>0</v>
      </c>
      <c r="E143" s="20"/>
      <c r="F143" s="23"/>
      <c r="G143" s="92">
        <f t="shared" si="24"/>
        <v>0</v>
      </c>
      <c r="H143" s="86"/>
      <c r="I143" s="86"/>
      <c r="J143" s="87"/>
      <c r="K143" s="88"/>
      <c r="L143" s="86"/>
      <c r="M143" s="86"/>
      <c r="N143" s="85"/>
      <c r="O143" s="88"/>
      <c r="P143" s="86"/>
      <c r="Q143" s="86"/>
      <c r="R143" s="85"/>
      <c r="S143" s="88"/>
      <c r="T143" s="86"/>
      <c r="U143" s="86"/>
      <c r="V143" s="85"/>
    </row>
    <row r="144" spans="1:22" x14ac:dyDescent="0.2">
      <c r="A144" s="83">
        <f>+A143+1</f>
        <v>136</v>
      </c>
      <c r="B144" s="33" t="s">
        <v>178</v>
      </c>
      <c r="C144" s="13">
        <f t="shared" si="20"/>
        <v>0</v>
      </c>
      <c r="D144" s="86">
        <f t="shared" si="20"/>
        <v>0</v>
      </c>
      <c r="E144" s="20"/>
      <c r="F144" s="23"/>
      <c r="G144" s="92">
        <f t="shared" si="24"/>
        <v>0</v>
      </c>
      <c r="H144" s="86"/>
      <c r="I144" s="86"/>
      <c r="J144" s="87"/>
      <c r="K144" s="88"/>
      <c r="L144" s="86"/>
      <c r="M144" s="86"/>
      <c r="N144" s="85"/>
      <c r="O144" s="88"/>
      <c r="P144" s="86"/>
      <c r="Q144" s="86"/>
      <c r="R144" s="85"/>
      <c r="S144" s="88"/>
      <c r="T144" s="86"/>
      <c r="U144" s="86"/>
      <c r="V144" s="85"/>
    </row>
    <row r="145" spans="1:22" x14ac:dyDescent="0.2">
      <c r="A145" s="83">
        <v>137</v>
      </c>
      <c r="B145" s="33" t="s">
        <v>179</v>
      </c>
      <c r="C145" s="13">
        <f t="shared" si="20"/>
        <v>0</v>
      </c>
      <c r="D145" s="86">
        <f t="shared" si="20"/>
        <v>0</v>
      </c>
      <c r="E145" s="20"/>
      <c r="F145" s="23"/>
      <c r="G145" s="92">
        <f t="shared" si="24"/>
        <v>0</v>
      </c>
      <c r="H145" s="84"/>
      <c r="I145" s="86"/>
      <c r="J145" s="87"/>
      <c r="K145" s="88"/>
      <c r="L145" s="86"/>
      <c r="M145" s="86"/>
      <c r="N145" s="85"/>
      <c r="O145" s="88"/>
      <c r="P145" s="86"/>
      <c r="Q145" s="86"/>
      <c r="R145" s="85"/>
      <c r="S145" s="88"/>
      <c r="T145" s="86"/>
      <c r="U145" s="86"/>
      <c r="V145" s="85"/>
    </row>
    <row r="146" spans="1:22" x14ac:dyDescent="0.2">
      <c r="A146" s="83">
        <v>138</v>
      </c>
      <c r="B146" s="111" t="s">
        <v>180</v>
      </c>
      <c r="C146" s="13">
        <f t="shared" si="20"/>
        <v>0</v>
      </c>
      <c r="D146" s="86">
        <f t="shared" si="20"/>
        <v>0</v>
      </c>
      <c r="E146" s="20"/>
      <c r="F146" s="23"/>
      <c r="G146" s="92">
        <f t="shared" si="24"/>
        <v>0</v>
      </c>
      <c r="H146" s="86"/>
      <c r="I146" s="86"/>
      <c r="J146" s="87"/>
      <c r="K146" s="88"/>
      <c r="L146" s="86"/>
      <c r="M146" s="86"/>
      <c r="N146" s="85"/>
      <c r="O146" s="88"/>
      <c r="P146" s="86"/>
      <c r="Q146" s="86"/>
      <c r="R146" s="85"/>
      <c r="S146" s="88"/>
      <c r="T146" s="86"/>
      <c r="U146" s="86"/>
      <c r="V146" s="85"/>
    </row>
    <row r="147" spans="1:22" x14ac:dyDescent="0.2">
      <c r="A147" s="83">
        <f>+A146+1</f>
        <v>139</v>
      </c>
      <c r="B147" s="33" t="s">
        <v>181</v>
      </c>
      <c r="C147" s="13">
        <f t="shared" si="20"/>
        <v>0</v>
      </c>
      <c r="D147" s="86">
        <f t="shared" si="20"/>
        <v>0</v>
      </c>
      <c r="E147" s="20"/>
      <c r="F147" s="23"/>
      <c r="G147" s="92"/>
      <c r="H147" s="86"/>
      <c r="I147" s="86"/>
      <c r="J147" s="87"/>
      <c r="K147" s="88">
        <f>L147+N147</f>
        <v>0</v>
      </c>
      <c r="L147" s="86"/>
      <c r="M147" s="86"/>
      <c r="N147" s="85"/>
      <c r="O147" s="88"/>
      <c r="P147" s="86"/>
      <c r="Q147" s="86"/>
      <c r="R147" s="85"/>
      <c r="S147" s="88"/>
      <c r="T147" s="86"/>
      <c r="U147" s="86"/>
      <c r="V147" s="85"/>
    </row>
    <row r="148" spans="1:22" x14ac:dyDescent="0.2">
      <c r="A148" s="83">
        <f>+A147+1</f>
        <v>140</v>
      </c>
      <c r="B148" s="33" t="s">
        <v>182</v>
      </c>
      <c r="C148" s="13">
        <f t="shared" si="20"/>
        <v>0</v>
      </c>
      <c r="D148" s="86">
        <f t="shared" si="20"/>
        <v>0</v>
      </c>
      <c r="E148" s="20"/>
      <c r="F148" s="23"/>
      <c r="G148" s="92"/>
      <c r="H148" s="86"/>
      <c r="I148" s="86"/>
      <c r="J148" s="87"/>
      <c r="K148" s="88">
        <f>L148+N148</f>
        <v>0</v>
      </c>
      <c r="L148" s="86"/>
      <c r="M148" s="86"/>
      <c r="N148" s="85"/>
      <c r="O148" s="88"/>
      <c r="P148" s="86"/>
      <c r="Q148" s="86"/>
      <c r="R148" s="85"/>
      <c r="S148" s="88"/>
      <c r="T148" s="86"/>
      <c r="U148" s="86"/>
      <c r="V148" s="85"/>
    </row>
    <row r="149" spans="1:22" x14ac:dyDescent="0.2">
      <c r="A149" s="83">
        <v>141</v>
      </c>
      <c r="B149" s="33" t="s">
        <v>183</v>
      </c>
      <c r="C149" s="13"/>
      <c r="D149" s="86"/>
      <c r="E149" s="20"/>
      <c r="F149" s="23"/>
      <c r="G149" s="92"/>
      <c r="H149" s="86"/>
      <c r="I149" s="86"/>
      <c r="J149" s="87"/>
      <c r="K149" s="88">
        <f>L149+N149</f>
        <v>0</v>
      </c>
      <c r="L149" s="86"/>
      <c r="M149" s="86"/>
      <c r="N149" s="85"/>
      <c r="O149" s="88"/>
      <c r="P149" s="86"/>
      <c r="Q149" s="86"/>
      <c r="R149" s="85"/>
      <c r="S149" s="88"/>
      <c r="T149" s="86"/>
      <c r="U149" s="86"/>
      <c r="V149" s="85"/>
    </row>
    <row r="150" spans="1:22" x14ac:dyDescent="0.2">
      <c r="A150" s="83">
        <v>142</v>
      </c>
      <c r="B150" s="33" t="s">
        <v>184</v>
      </c>
      <c r="C150" s="13">
        <f t="shared" si="20"/>
        <v>0</v>
      </c>
      <c r="D150" s="86">
        <f t="shared" si="20"/>
        <v>0</v>
      </c>
      <c r="E150" s="20"/>
      <c r="F150" s="23"/>
      <c r="G150" s="92">
        <f t="shared" si="24"/>
        <v>0</v>
      </c>
      <c r="H150" s="86"/>
      <c r="I150" s="86"/>
      <c r="J150" s="87"/>
      <c r="K150" s="88"/>
      <c r="L150" s="86"/>
      <c r="M150" s="86"/>
      <c r="N150" s="85"/>
      <c r="O150" s="88"/>
      <c r="P150" s="86"/>
      <c r="Q150" s="86"/>
      <c r="R150" s="85"/>
      <c r="S150" s="88"/>
      <c r="T150" s="86"/>
      <c r="U150" s="86"/>
      <c r="V150" s="85"/>
    </row>
    <row r="151" spans="1:22" ht="38.25" x14ac:dyDescent="0.2">
      <c r="A151" s="136">
        <v>143</v>
      </c>
      <c r="B151" s="137" t="s">
        <v>185</v>
      </c>
      <c r="C151" s="138">
        <f t="shared" si="20"/>
        <v>0</v>
      </c>
      <c r="D151" s="139">
        <f>H151+L151+P151+T151</f>
        <v>0</v>
      </c>
      <c r="E151" s="140"/>
      <c r="F151" s="141"/>
      <c r="G151" s="142">
        <f t="shared" si="24"/>
        <v>0</v>
      </c>
      <c r="H151" s="143"/>
      <c r="I151" s="144"/>
      <c r="J151" s="145"/>
      <c r="K151" s="88"/>
      <c r="L151" s="144"/>
      <c r="M151" s="144"/>
      <c r="N151" s="146"/>
      <c r="O151" s="147"/>
      <c r="P151" s="144"/>
      <c r="Q151" s="144"/>
      <c r="R151" s="146"/>
      <c r="S151" s="34"/>
      <c r="T151" s="144"/>
      <c r="U151" s="144"/>
      <c r="V151" s="146"/>
    </row>
    <row r="152" spans="1:22" x14ac:dyDescent="0.2">
      <c r="A152" s="136">
        <v>144</v>
      </c>
      <c r="B152" s="137" t="s">
        <v>186</v>
      </c>
      <c r="C152" s="138">
        <f t="shared" si="20"/>
        <v>0</v>
      </c>
      <c r="D152" s="139">
        <f>H152+L152+P152+T152</f>
        <v>0</v>
      </c>
      <c r="E152" s="139">
        <f>I152+M152+Q152+U152</f>
        <v>0</v>
      </c>
      <c r="F152" s="141"/>
      <c r="G152" s="142"/>
      <c r="H152" s="143"/>
      <c r="I152" s="144"/>
      <c r="J152" s="145"/>
      <c r="K152" s="88">
        <f>L152+N152</f>
        <v>0</v>
      </c>
      <c r="L152" s="144"/>
      <c r="M152" s="144"/>
      <c r="N152" s="146"/>
      <c r="O152" s="147"/>
      <c r="P152" s="144"/>
      <c r="Q152" s="144"/>
      <c r="R152" s="146"/>
      <c r="S152" s="34"/>
      <c r="T152" s="144"/>
      <c r="U152" s="144"/>
      <c r="V152" s="146"/>
    </row>
    <row r="153" spans="1:22" ht="25.5" x14ac:dyDescent="0.2">
      <c r="A153" s="83">
        <v>145</v>
      </c>
      <c r="B153" s="96" t="s">
        <v>187</v>
      </c>
      <c r="C153" s="13">
        <f t="shared" si="20"/>
        <v>0</v>
      </c>
      <c r="D153" s="139"/>
      <c r="E153" s="20"/>
      <c r="F153" s="25">
        <f t="shared" si="20"/>
        <v>0</v>
      </c>
      <c r="G153" s="142">
        <f t="shared" si="24"/>
        <v>0</v>
      </c>
      <c r="H153" s="86"/>
      <c r="I153" s="86"/>
      <c r="J153" s="87"/>
      <c r="K153" s="88"/>
      <c r="L153" s="86"/>
      <c r="M153" s="86"/>
      <c r="N153" s="85"/>
      <c r="O153" s="88"/>
      <c r="P153" s="86"/>
      <c r="Q153" s="86"/>
      <c r="R153" s="85"/>
      <c r="S153" s="88"/>
      <c r="T153" s="86"/>
      <c r="U153" s="86"/>
      <c r="V153" s="85"/>
    </row>
    <row r="154" spans="1:22" ht="25.5" x14ac:dyDescent="0.2">
      <c r="A154" s="83">
        <v>146</v>
      </c>
      <c r="B154" s="148" t="s">
        <v>66</v>
      </c>
      <c r="C154" s="13">
        <f t="shared" si="20"/>
        <v>0</v>
      </c>
      <c r="D154" s="139"/>
      <c r="E154" s="20"/>
      <c r="F154" s="25">
        <f t="shared" si="20"/>
        <v>0</v>
      </c>
      <c r="G154" s="142">
        <f t="shared" si="24"/>
        <v>0</v>
      </c>
      <c r="H154" s="86"/>
      <c r="I154" s="86"/>
      <c r="J154" s="87"/>
      <c r="K154" s="88"/>
      <c r="L154" s="86"/>
      <c r="M154" s="86"/>
      <c r="N154" s="85"/>
      <c r="O154" s="88"/>
      <c r="P154" s="86"/>
      <c r="Q154" s="86"/>
      <c r="R154" s="85"/>
      <c r="S154" s="88"/>
      <c r="T154" s="86"/>
      <c r="U154" s="86"/>
      <c r="V154" s="85"/>
    </row>
    <row r="155" spans="1:22" x14ac:dyDescent="0.2">
      <c r="A155" s="83">
        <v>147</v>
      </c>
      <c r="B155" s="148" t="s">
        <v>188</v>
      </c>
      <c r="C155" s="13">
        <f t="shared" si="20"/>
        <v>0</v>
      </c>
      <c r="D155" s="139">
        <f>H155+L155+P155+T155</f>
        <v>0</v>
      </c>
      <c r="E155" s="20"/>
      <c r="F155" s="25"/>
      <c r="G155" s="142">
        <f t="shared" si="24"/>
        <v>0</v>
      </c>
      <c r="H155" s="86"/>
      <c r="I155" s="86"/>
      <c r="J155" s="87"/>
      <c r="K155" s="88"/>
      <c r="L155" s="86"/>
      <c r="M155" s="86"/>
      <c r="N155" s="85"/>
      <c r="O155" s="88"/>
      <c r="P155" s="86"/>
      <c r="Q155" s="86"/>
      <c r="R155" s="85"/>
      <c r="S155" s="88"/>
      <c r="T155" s="86"/>
      <c r="U155" s="86"/>
      <c r="V155" s="85"/>
    </row>
    <row r="156" spans="1:22" x14ac:dyDescent="0.2">
      <c r="A156" s="83">
        <v>148</v>
      </c>
      <c r="B156" s="148" t="s">
        <v>189</v>
      </c>
      <c r="C156" s="13">
        <f t="shared" si="20"/>
        <v>0</v>
      </c>
      <c r="D156" s="139">
        <f>H156+L156+P156+T156</f>
        <v>0</v>
      </c>
      <c r="E156" s="20"/>
      <c r="F156" s="25"/>
      <c r="G156" s="142">
        <f t="shared" si="24"/>
        <v>0</v>
      </c>
      <c r="H156" s="86"/>
      <c r="I156" s="86"/>
      <c r="J156" s="87"/>
      <c r="K156" s="88"/>
      <c r="L156" s="86"/>
      <c r="M156" s="86"/>
      <c r="N156" s="85"/>
      <c r="O156" s="88"/>
      <c r="P156" s="86"/>
      <c r="Q156" s="86"/>
      <c r="R156" s="85"/>
      <c r="S156" s="88"/>
      <c r="T156" s="86"/>
      <c r="U156" s="86"/>
      <c r="V156" s="85"/>
    </row>
    <row r="157" spans="1:22" x14ac:dyDescent="0.2">
      <c r="A157" s="83">
        <v>149</v>
      </c>
      <c r="B157" s="18" t="s">
        <v>27</v>
      </c>
      <c r="C157" s="22">
        <f t="shared" si="20"/>
        <v>0</v>
      </c>
      <c r="D157" s="20">
        <f t="shared" si="20"/>
        <v>0</v>
      </c>
      <c r="E157" s="20">
        <f t="shared" si="20"/>
        <v>0</v>
      </c>
      <c r="F157" s="23"/>
      <c r="G157" s="19">
        <f t="shared" si="24"/>
        <v>0</v>
      </c>
      <c r="H157" s="20"/>
      <c r="I157" s="20"/>
      <c r="J157" s="21"/>
      <c r="K157" s="22"/>
      <c r="L157" s="20"/>
      <c r="M157" s="20"/>
      <c r="N157" s="85"/>
      <c r="O157" s="88"/>
      <c r="P157" s="86"/>
      <c r="Q157" s="86"/>
      <c r="R157" s="85"/>
      <c r="S157" s="22">
        <f>T157+V157</f>
        <v>0</v>
      </c>
      <c r="T157" s="20"/>
      <c r="U157" s="20"/>
      <c r="V157" s="23"/>
    </row>
    <row r="158" spans="1:22" x14ac:dyDescent="0.2">
      <c r="A158" s="83">
        <f t="shared" ref="A158:A205" si="26">+A157+1</f>
        <v>150</v>
      </c>
      <c r="B158" s="18" t="s">
        <v>7</v>
      </c>
      <c r="C158" s="22">
        <f t="shared" si="20"/>
        <v>0</v>
      </c>
      <c r="D158" s="20">
        <f t="shared" si="20"/>
        <v>0</v>
      </c>
      <c r="E158" s="20">
        <f t="shared" si="20"/>
        <v>0</v>
      </c>
      <c r="F158" s="23"/>
      <c r="G158" s="19"/>
      <c r="H158" s="16"/>
      <c r="I158" s="16"/>
      <c r="J158" s="24"/>
      <c r="K158" s="22">
        <f t="shared" ref="K158:K169" si="27">L158+N158</f>
        <v>0</v>
      </c>
      <c r="L158" s="20"/>
      <c r="M158" s="20"/>
      <c r="N158" s="25"/>
      <c r="O158" s="88"/>
      <c r="P158" s="86"/>
      <c r="Q158" s="86"/>
      <c r="R158" s="85"/>
      <c r="S158" s="88"/>
      <c r="T158" s="86"/>
      <c r="U158" s="86"/>
      <c r="V158" s="85"/>
    </row>
    <row r="159" spans="1:22" x14ac:dyDescent="0.2">
      <c r="A159" s="83">
        <f t="shared" si="26"/>
        <v>151</v>
      </c>
      <c r="B159" s="18" t="s">
        <v>8</v>
      </c>
      <c r="C159" s="22">
        <f t="shared" si="20"/>
        <v>0</v>
      </c>
      <c r="D159" s="20">
        <f t="shared" si="20"/>
        <v>0</v>
      </c>
      <c r="E159" s="20">
        <f t="shared" si="20"/>
        <v>0</v>
      </c>
      <c r="F159" s="23"/>
      <c r="G159" s="19"/>
      <c r="H159" s="16"/>
      <c r="I159" s="16"/>
      <c r="J159" s="24"/>
      <c r="K159" s="22">
        <f t="shared" si="27"/>
        <v>0</v>
      </c>
      <c r="L159" s="20"/>
      <c r="M159" s="20"/>
      <c r="N159" s="25"/>
      <c r="O159" s="88"/>
      <c r="P159" s="86"/>
      <c r="Q159" s="86"/>
      <c r="R159" s="85"/>
      <c r="S159" s="88"/>
      <c r="T159" s="86"/>
      <c r="U159" s="86"/>
      <c r="V159" s="85"/>
    </row>
    <row r="160" spans="1:22" x14ac:dyDescent="0.2">
      <c r="A160" s="83">
        <f t="shared" si="26"/>
        <v>152</v>
      </c>
      <c r="B160" s="18" t="s">
        <v>9</v>
      </c>
      <c r="C160" s="22">
        <f t="shared" si="20"/>
        <v>0</v>
      </c>
      <c r="D160" s="20">
        <f t="shared" si="20"/>
        <v>0</v>
      </c>
      <c r="E160" s="20">
        <f t="shared" si="20"/>
        <v>0</v>
      </c>
      <c r="F160" s="23"/>
      <c r="G160" s="19"/>
      <c r="H160" s="16"/>
      <c r="I160" s="16"/>
      <c r="J160" s="24"/>
      <c r="K160" s="22">
        <f t="shared" si="27"/>
        <v>0</v>
      </c>
      <c r="L160" s="20"/>
      <c r="M160" s="20"/>
      <c r="N160" s="25"/>
      <c r="O160" s="88"/>
      <c r="P160" s="86"/>
      <c r="Q160" s="86"/>
      <c r="R160" s="85"/>
      <c r="S160" s="88"/>
      <c r="T160" s="86"/>
      <c r="U160" s="86"/>
      <c r="V160" s="85"/>
    </row>
    <row r="161" spans="1:22" x14ac:dyDescent="0.2">
      <c r="A161" s="83">
        <f t="shared" si="26"/>
        <v>153</v>
      </c>
      <c r="B161" s="18" t="s">
        <v>10</v>
      </c>
      <c r="C161" s="22">
        <f t="shared" si="20"/>
        <v>0</v>
      </c>
      <c r="D161" s="20">
        <f t="shared" si="20"/>
        <v>0</v>
      </c>
      <c r="E161" s="20">
        <f t="shared" si="20"/>
        <v>0</v>
      </c>
      <c r="F161" s="23"/>
      <c r="G161" s="19"/>
      <c r="H161" s="16"/>
      <c r="I161" s="16"/>
      <c r="J161" s="24"/>
      <c r="K161" s="22">
        <f t="shared" si="27"/>
        <v>0</v>
      </c>
      <c r="L161" s="20"/>
      <c r="M161" s="20"/>
      <c r="N161" s="25"/>
      <c r="O161" s="88"/>
      <c r="P161" s="86"/>
      <c r="Q161" s="86"/>
      <c r="R161" s="85"/>
      <c r="S161" s="88"/>
      <c r="T161" s="86"/>
      <c r="U161" s="86"/>
      <c r="V161" s="85"/>
    </row>
    <row r="162" spans="1:22" x14ac:dyDescent="0.2">
      <c r="A162" s="83">
        <f t="shared" si="26"/>
        <v>154</v>
      </c>
      <c r="B162" s="18" t="s">
        <v>11</v>
      </c>
      <c r="C162" s="22">
        <f t="shared" si="20"/>
        <v>0</v>
      </c>
      <c r="D162" s="20">
        <f t="shared" si="20"/>
        <v>0</v>
      </c>
      <c r="E162" s="20">
        <f t="shared" si="20"/>
        <v>0</v>
      </c>
      <c r="F162" s="23"/>
      <c r="G162" s="19"/>
      <c r="H162" s="16"/>
      <c r="I162" s="16"/>
      <c r="J162" s="24"/>
      <c r="K162" s="22">
        <f t="shared" si="27"/>
        <v>0</v>
      </c>
      <c r="L162" s="20"/>
      <c r="M162" s="20"/>
      <c r="N162" s="25"/>
      <c r="O162" s="88"/>
      <c r="P162" s="86"/>
      <c r="Q162" s="86"/>
      <c r="R162" s="85"/>
      <c r="S162" s="88"/>
      <c r="T162" s="86"/>
      <c r="U162" s="86"/>
      <c r="V162" s="85"/>
    </row>
    <row r="163" spans="1:22" x14ac:dyDescent="0.2">
      <c r="A163" s="83">
        <f t="shared" si="26"/>
        <v>155</v>
      </c>
      <c r="B163" s="18" t="s">
        <v>12</v>
      </c>
      <c r="C163" s="22">
        <f t="shared" si="20"/>
        <v>0</v>
      </c>
      <c r="D163" s="20">
        <f t="shared" si="20"/>
        <v>0</v>
      </c>
      <c r="E163" s="20">
        <f t="shared" si="20"/>
        <v>0</v>
      </c>
      <c r="F163" s="23"/>
      <c r="G163" s="19"/>
      <c r="H163" s="16"/>
      <c r="I163" s="16"/>
      <c r="J163" s="24"/>
      <c r="K163" s="22">
        <f t="shared" si="27"/>
        <v>0</v>
      </c>
      <c r="L163" s="20"/>
      <c r="M163" s="20"/>
      <c r="N163" s="25"/>
      <c r="O163" s="88"/>
      <c r="P163" s="86"/>
      <c r="Q163" s="86"/>
      <c r="R163" s="85"/>
      <c r="S163" s="88"/>
      <c r="T163" s="86"/>
      <c r="U163" s="86"/>
      <c r="V163" s="85"/>
    </row>
    <row r="164" spans="1:22" x14ac:dyDescent="0.2">
      <c r="A164" s="83">
        <f t="shared" si="26"/>
        <v>156</v>
      </c>
      <c r="B164" s="18" t="s">
        <v>13</v>
      </c>
      <c r="C164" s="22">
        <f t="shared" si="20"/>
        <v>0</v>
      </c>
      <c r="D164" s="20">
        <f t="shared" si="20"/>
        <v>0</v>
      </c>
      <c r="E164" s="20">
        <f t="shared" si="20"/>
        <v>0</v>
      </c>
      <c r="F164" s="23"/>
      <c r="G164" s="19"/>
      <c r="H164" s="16"/>
      <c r="I164" s="16"/>
      <c r="J164" s="24"/>
      <c r="K164" s="22">
        <f t="shared" si="27"/>
        <v>0</v>
      </c>
      <c r="L164" s="20"/>
      <c r="M164" s="20"/>
      <c r="N164" s="25"/>
      <c r="O164" s="88"/>
      <c r="P164" s="86"/>
      <c r="Q164" s="86"/>
      <c r="R164" s="85"/>
      <c r="S164" s="88"/>
      <c r="T164" s="86"/>
      <c r="U164" s="86"/>
      <c r="V164" s="85"/>
    </row>
    <row r="165" spans="1:22" x14ac:dyDescent="0.2">
      <c r="A165" s="83">
        <f t="shared" si="26"/>
        <v>157</v>
      </c>
      <c r="B165" s="18" t="s">
        <v>14</v>
      </c>
      <c r="C165" s="22">
        <f t="shared" ref="C165:E174" si="28">G165+K165+O165+S165</f>
        <v>0</v>
      </c>
      <c r="D165" s="20">
        <f t="shared" si="28"/>
        <v>0</v>
      </c>
      <c r="E165" s="20">
        <f t="shared" si="28"/>
        <v>0</v>
      </c>
      <c r="F165" s="23"/>
      <c r="G165" s="19"/>
      <c r="H165" s="16"/>
      <c r="I165" s="16"/>
      <c r="J165" s="24"/>
      <c r="K165" s="22">
        <f t="shared" si="27"/>
        <v>0</v>
      </c>
      <c r="L165" s="20"/>
      <c r="M165" s="20"/>
      <c r="N165" s="25"/>
      <c r="O165" s="88"/>
      <c r="P165" s="86"/>
      <c r="Q165" s="86"/>
      <c r="R165" s="85"/>
      <c r="S165" s="88"/>
      <c r="T165" s="86"/>
      <c r="U165" s="86"/>
      <c r="V165" s="85"/>
    </row>
    <row r="166" spans="1:22" x14ac:dyDescent="0.2">
      <c r="A166" s="83">
        <f t="shared" si="26"/>
        <v>158</v>
      </c>
      <c r="B166" s="18" t="s">
        <v>28</v>
      </c>
      <c r="C166" s="22">
        <f t="shared" si="28"/>
        <v>0</v>
      </c>
      <c r="D166" s="20">
        <f t="shared" si="28"/>
        <v>0</v>
      </c>
      <c r="E166" s="20">
        <f t="shared" si="28"/>
        <v>0</v>
      </c>
      <c r="F166" s="23"/>
      <c r="G166" s="19">
        <f t="shared" si="24"/>
        <v>0</v>
      </c>
      <c r="H166" s="20"/>
      <c r="I166" s="16"/>
      <c r="J166" s="24"/>
      <c r="K166" s="22">
        <f t="shared" si="27"/>
        <v>0</v>
      </c>
      <c r="L166" s="20"/>
      <c r="M166" s="20"/>
      <c r="N166" s="25"/>
      <c r="O166" s="88"/>
      <c r="P166" s="86"/>
      <c r="Q166" s="86"/>
      <c r="R166" s="85"/>
      <c r="S166" s="88"/>
      <c r="T166" s="86"/>
      <c r="U166" s="86"/>
      <c r="V166" s="85"/>
    </row>
    <row r="167" spans="1:22" x14ac:dyDescent="0.2">
      <c r="A167" s="83">
        <f t="shared" si="26"/>
        <v>159</v>
      </c>
      <c r="B167" s="18" t="s">
        <v>16</v>
      </c>
      <c r="C167" s="22">
        <f t="shared" si="28"/>
        <v>0</v>
      </c>
      <c r="D167" s="20">
        <f t="shared" si="28"/>
        <v>0</v>
      </c>
      <c r="E167" s="20">
        <f t="shared" si="28"/>
        <v>0</v>
      </c>
      <c r="F167" s="23"/>
      <c r="G167" s="19"/>
      <c r="H167" s="16"/>
      <c r="I167" s="16"/>
      <c r="J167" s="24"/>
      <c r="K167" s="22">
        <f t="shared" si="27"/>
        <v>0</v>
      </c>
      <c r="L167" s="20"/>
      <c r="M167" s="20"/>
      <c r="N167" s="25"/>
      <c r="O167" s="88"/>
      <c r="P167" s="86"/>
      <c r="Q167" s="86"/>
      <c r="R167" s="85"/>
      <c r="S167" s="88"/>
      <c r="T167" s="86"/>
      <c r="U167" s="86"/>
      <c r="V167" s="85"/>
    </row>
    <row r="168" spans="1:22" x14ac:dyDescent="0.2">
      <c r="A168" s="83">
        <f t="shared" si="26"/>
        <v>160</v>
      </c>
      <c r="B168" s="47" t="s">
        <v>116</v>
      </c>
      <c r="C168" s="22">
        <f t="shared" si="28"/>
        <v>0</v>
      </c>
      <c r="D168" s="20">
        <f t="shared" si="28"/>
        <v>0</v>
      </c>
      <c r="E168" s="20">
        <f t="shared" si="28"/>
        <v>0</v>
      </c>
      <c r="F168" s="23"/>
      <c r="G168" s="93"/>
      <c r="H168" s="86"/>
      <c r="I168" s="86"/>
      <c r="J168" s="93"/>
      <c r="K168" s="28">
        <f t="shared" si="27"/>
        <v>0</v>
      </c>
      <c r="L168" s="20"/>
      <c r="M168" s="20"/>
      <c r="N168" s="90"/>
      <c r="O168" s="95"/>
      <c r="P168" s="86"/>
      <c r="Q168" s="86"/>
      <c r="R168" s="90"/>
      <c r="S168" s="95"/>
      <c r="T168" s="86"/>
      <c r="U168" s="86"/>
      <c r="V168" s="90"/>
    </row>
    <row r="169" spans="1:22" x14ac:dyDescent="0.2">
      <c r="A169" s="83">
        <f t="shared" si="26"/>
        <v>161</v>
      </c>
      <c r="B169" s="33" t="s">
        <v>190</v>
      </c>
      <c r="C169" s="13">
        <f t="shared" si="28"/>
        <v>0</v>
      </c>
      <c r="D169" s="16">
        <f t="shared" si="28"/>
        <v>0</v>
      </c>
      <c r="E169" s="16">
        <f t="shared" si="28"/>
        <v>0</v>
      </c>
      <c r="F169" s="23"/>
      <c r="G169" s="93"/>
      <c r="H169" s="20"/>
      <c r="I169" s="20"/>
      <c r="J169" s="89"/>
      <c r="K169" s="149">
        <f t="shared" si="27"/>
        <v>0</v>
      </c>
      <c r="L169" s="16"/>
      <c r="M169" s="16"/>
      <c r="N169" s="90"/>
      <c r="O169" s="95"/>
      <c r="P169" s="86"/>
      <c r="Q169" s="86"/>
      <c r="R169" s="90"/>
      <c r="S169" s="95"/>
      <c r="T169" s="86"/>
      <c r="U169" s="86"/>
      <c r="V169" s="90"/>
    </row>
    <row r="170" spans="1:22" x14ac:dyDescent="0.2">
      <c r="A170" s="83">
        <f t="shared" si="26"/>
        <v>162</v>
      </c>
      <c r="B170" s="18" t="s">
        <v>36</v>
      </c>
      <c r="C170" s="22">
        <f t="shared" si="28"/>
        <v>0</v>
      </c>
      <c r="D170" s="20">
        <f t="shared" si="28"/>
        <v>0</v>
      </c>
      <c r="E170" s="20"/>
      <c r="F170" s="23"/>
      <c r="G170" s="89">
        <f>G171+G172</f>
        <v>0</v>
      </c>
      <c r="H170" s="20"/>
      <c r="I170" s="86"/>
      <c r="J170" s="93"/>
      <c r="K170" s="95"/>
      <c r="L170" s="86"/>
      <c r="M170" s="86"/>
      <c r="N170" s="90"/>
      <c r="O170" s="95"/>
      <c r="P170" s="86"/>
      <c r="Q170" s="86"/>
      <c r="R170" s="90"/>
      <c r="S170" s="95"/>
      <c r="T170" s="86"/>
      <c r="U170" s="86"/>
      <c r="V170" s="90"/>
    </row>
    <row r="171" spans="1:22" x14ac:dyDescent="0.2">
      <c r="A171" s="83">
        <f t="shared" si="26"/>
        <v>163</v>
      </c>
      <c r="B171" s="111" t="s">
        <v>191</v>
      </c>
      <c r="C171" s="13">
        <f t="shared" si="28"/>
        <v>0</v>
      </c>
      <c r="D171" s="86">
        <f t="shared" si="28"/>
        <v>0</v>
      </c>
      <c r="E171" s="86"/>
      <c r="F171" s="85"/>
      <c r="G171" s="93">
        <f t="shared" si="24"/>
        <v>0</v>
      </c>
      <c r="H171" s="86"/>
      <c r="I171" s="86"/>
      <c r="J171" s="93"/>
      <c r="K171" s="95"/>
      <c r="L171" s="86"/>
      <c r="M171" s="86"/>
      <c r="N171" s="90"/>
      <c r="O171" s="95"/>
      <c r="P171" s="86"/>
      <c r="Q171" s="86"/>
      <c r="R171" s="90"/>
      <c r="S171" s="95"/>
      <c r="T171" s="86"/>
      <c r="U171" s="86"/>
      <c r="V171" s="90"/>
    </row>
    <row r="172" spans="1:22" x14ac:dyDescent="0.2">
      <c r="A172" s="83">
        <f t="shared" si="26"/>
        <v>164</v>
      </c>
      <c r="B172" s="33" t="s">
        <v>192</v>
      </c>
      <c r="C172" s="13">
        <f t="shared" si="28"/>
        <v>0</v>
      </c>
      <c r="D172" s="86">
        <f t="shared" si="28"/>
        <v>0</v>
      </c>
      <c r="E172" s="86"/>
      <c r="F172" s="85"/>
      <c r="G172" s="93">
        <f t="shared" ref="G172:G207" si="29">H172+J172</f>
        <v>0</v>
      </c>
      <c r="H172" s="86"/>
      <c r="I172" s="86"/>
      <c r="J172" s="93"/>
      <c r="K172" s="95"/>
      <c r="L172" s="86"/>
      <c r="M172" s="86"/>
      <c r="N172" s="90"/>
      <c r="O172" s="95"/>
      <c r="P172" s="86"/>
      <c r="Q172" s="86"/>
      <c r="R172" s="90"/>
      <c r="S172" s="95"/>
      <c r="T172" s="86"/>
      <c r="U172" s="86"/>
      <c r="V172" s="90"/>
    </row>
    <row r="173" spans="1:22" x14ac:dyDescent="0.2">
      <c r="A173" s="83">
        <v>165</v>
      </c>
      <c r="B173" s="18" t="s">
        <v>6</v>
      </c>
      <c r="C173" s="22">
        <f t="shared" si="28"/>
        <v>0</v>
      </c>
      <c r="D173" s="20">
        <f t="shared" si="28"/>
        <v>0</v>
      </c>
      <c r="E173" s="20">
        <f>I173+M173+Q173+U173</f>
        <v>0</v>
      </c>
      <c r="F173" s="23"/>
      <c r="G173" s="19"/>
      <c r="H173" s="20"/>
      <c r="I173" s="20"/>
      <c r="J173" s="87"/>
      <c r="K173" s="28">
        <f>L173+N173</f>
        <v>0</v>
      </c>
      <c r="L173" s="20"/>
      <c r="M173" s="20"/>
      <c r="N173" s="85"/>
      <c r="O173" s="88"/>
      <c r="P173" s="86"/>
      <c r="Q173" s="86"/>
      <c r="R173" s="85"/>
      <c r="S173" s="22">
        <f>T173+V173</f>
        <v>0</v>
      </c>
      <c r="T173" s="20"/>
      <c r="U173" s="20"/>
      <c r="V173" s="85"/>
    </row>
    <row r="174" spans="1:22" ht="13.5" thickBot="1" x14ac:dyDescent="0.25">
      <c r="A174" s="112">
        <f t="shared" si="26"/>
        <v>166</v>
      </c>
      <c r="B174" s="150" t="s">
        <v>193</v>
      </c>
      <c r="C174" s="42">
        <f t="shared" si="28"/>
        <v>0</v>
      </c>
      <c r="D174" s="133">
        <f t="shared" si="28"/>
        <v>0</v>
      </c>
      <c r="E174" s="133">
        <f>I174+M174+Q174+U174</f>
        <v>0</v>
      </c>
      <c r="F174" s="134"/>
      <c r="G174" s="151"/>
      <c r="H174" s="133"/>
      <c r="I174" s="133"/>
      <c r="J174" s="152"/>
      <c r="K174" s="149">
        <f>L174+N174</f>
        <v>0</v>
      </c>
      <c r="L174" s="133"/>
      <c r="M174" s="133"/>
      <c r="N174" s="134"/>
      <c r="O174" s="132"/>
      <c r="P174" s="133"/>
      <c r="Q174" s="133"/>
      <c r="R174" s="134"/>
      <c r="S174" s="13">
        <f>T174+V174</f>
        <v>0</v>
      </c>
      <c r="T174" s="133"/>
      <c r="U174" s="133"/>
      <c r="V174" s="134"/>
    </row>
    <row r="175" spans="1:22" ht="45.75" thickBot="1" x14ac:dyDescent="0.3">
      <c r="A175" s="63">
        <f t="shared" si="26"/>
        <v>167</v>
      </c>
      <c r="B175" s="64" t="s">
        <v>194</v>
      </c>
      <c r="C175" s="57">
        <f t="shared" ref="C175:L175" si="30">C176+C185+SUM(C187:C196)</f>
        <v>0</v>
      </c>
      <c r="D175" s="53">
        <f t="shared" si="30"/>
        <v>0</v>
      </c>
      <c r="E175" s="53">
        <f t="shared" si="30"/>
        <v>0</v>
      </c>
      <c r="F175" s="55">
        <f t="shared" si="30"/>
        <v>0</v>
      </c>
      <c r="G175" s="65">
        <f t="shared" si="30"/>
        <v>0</v>
      </c>
      <c r="H175" s="53">
        <f t="shared" si="30"/>
        <v>0</v>
      </c>
      <c r="I175" s="53">
        <f>I176+I185+SUM(I187:I196)</f>
        <v>0</v>
      </c>
      <c r="J175" s="58">
        <f t="shared" si="30"/>
        <v>0</v>
      </c>
      <c r="K175" s="57">
        <f t="shared" si="30"/>
        <v>0</v>
      </c>
      <c r="L175" s="53">
        <f t="shared" si="30"/>
        <v>0</v>
      </c>
      <c r="M175" s="53"/>
      <c r="N175" s="67">
        <f>N176+N185+SUM(N187:N196)</f>
        <v>0</v>
      </c>
      <c r="O175" s="57"/>
      <c r="P175" s="53"/>
      <c r="Q175" s="53"/>
      <c r="R175" s="67"/>
      <c r="S175" s="57">
        <f>S176+S185+SUM(S187:S196)</f>
        <v>0</v>
      </c>
      <c r="T175" s="53">
        <f>T176+T185+SUM(T187:T196)</f>
        <v>0</v>
      </c>
      <c r="U175" s="53">
        <f>U176+U185+SUM(U187:U196)</f>
        <v>0</v>
      </c>
      <c r="V175" s="58">
        <f>V176+V185+SUM(V187:V196)</f>
        <v>0</v>
      </c>
    </row>
    <row r="176" spans="1:22" x14ac:dyDescent="0.2">
      <c r="A176" s="153">
        <f t="shared" si="26"/>
        <v>168</v>
      </c>
      <c r="B176" s="154" t="s">
        <v>125</v>
      </c>
      <c r="C176" s="123">
        <f>G176+K176+O176+S176</f>
        <v>0</v>
      </c>
      <c r="D176" s="103">
        <f>H176+L176+P176+T176</f>
        <v>0</v>
      </c>
      <c r="E176" s="103"/>
      <c r="F176" s="106">
        <f>J176+N176+R176+V176</f>
        <v>0</v>
      </c>
      <c r="G176" s="102">
        <f>G177+G179+G180+G181+G182+G183+G184</f>
        <v>0</v>
      </c>
      <c r="H176" s="103">
        <f>H177+H179+H180+H181+H182+H183+H184</f>
        <v>0</v>
      </c>
      <c r="I176" s="103"/>
      <c r="J176" s="155">
        <f>J177+J179</f>
        <v>0</v>
      </c>
      <c r="K176" s="102">
        <f>L176+N176</f>
        <v>0</v>
      </c>
      <c r="L176" s="102">
        <f>L177+L180+L181</f>
        <v>0</v>
      </c>
      <c r="M176" s="102"/>
      <c r="N176" s="156">
        <f>N177+N180+N181</f>
        <v>0</v>
      </c>
      <c r="O176" s="157"/>
      <c r="P176" s="158"/>
      <c r="Q176" s="158"/>
      <c r="R176" s="104"/>
      <c r="S176" s="124"/>
      <c r="T176" s="109"/>
      <c r="U176" s="109"/>
      <c r="V176" s="105"/>
    </row>
    <row r="177" spans="1:22" x14ac:dyDescent="0.2">
      <c r="A177" s="159">
        <f t="shared" si="26"/>
        <v>169</v>
      </c>
      <c r="B177" s="33" t="s">
        <v>195</v>
      </c>
      <c r="C177" s="13">
        <f>G177+K177+O177+S177</f>
        <v>0</v>
      </c>
      <c r="D177" s="86">
        <f>H177</f>
        <v>0</v>
      </c>
      <c r="E177" s="86"/>
      <c r="F177" s="87">
        <f>J177+N177+R177+V177</f>
        <v>0</v>
      </c>
      <c r="G177" s="88">
        <f t="shared" si="29"/>
        <v>0</v>
      </c>
      <c r="H177" s="16"/>
      <c r="I177" s="16"/>
      <c r="J177" s="25"/>
      <c r="K177" s="80">
        <f>L177+N177</f>
        <v>0</v>
      </c>
      <c r="L177" s="86"/>
      <c r="M177" s="86"/>
      <c r="N177" s="85">
        <f>N178</f>
        <v>0</v>
      </c>
      <c r="O177" s="88"/>
      <c r="P177" s="86"/>
      <c r="Q177" s="86"/>
      <c r="R177" s="85"/>
      <c r="S177" s="88"/>
      <c r="T177" s="86"/>
      <c r="U177" s="86"/>
      <c r="V177" s="85"/>
    </row>
    <row r="178" spans="1:22" x14ac:dyDescent="0.2">
      <c r="A178" s="159">
        <f t="shared" si="26"/>
        <v>170</v>
      </c>
      <c r="B178" s="33" t="s">
        <v>196</v>
      </c>
      <c r="C178" s="13">
        <f t="shared" ref="C178:E208" si="31">G178+K178+O178+S178</f>
        <v>0</v>
      </c>
      <c r="D178" s="86"/>
      <c r="E178" s="86"/>
      <c r="F178" s="87">
        <f>J178+N178+R178+V178</f>
        <v>0</v>
      </c>
      <c r="G178" s="88"/>
      <c r="H178" s="16"/>
      <c r="I178" s="86"/>
      <c r="J178" s="85"/>
      <c r="K178" s="88">
        <f>L178+N178</f>
        <v>0</v>
      </c>
      <c r="L178" s="86"/>
      <c r="M178" s="86"/>
      <c r="N178" s="85"/>
      <c r="O178" s="88"/>
      <c r="P178" s="86"/>
      <c r="Q178" s="86"/>
      <c r="R178" s="85"/>
      <c r="S178" s="88"/>
      <c r="T178" s="86"/>
      <c r="U178" s="86"/>
      <c r="V178" s="85"/>
    </row>
    <row r="179" spans="1:22" ht="25.5" x14ac:dyDescent="0.2">
      <c r="A179" s="159">
        <v>171</v>
      </c>
      <c r="B179" s="160" t="s">
        <v>197</v>
      </c>
      <c r="C179" s="149">
        <f t="shared" si="31"/>
        <v>0</v>
      </c>
      <c r="D179" s="16"/>
      <c r="E179" s="16"/>
      <c r="F179" s="87">
        <f>J179+N179+R179+V179</f>
        <v>0</v>
      </c>
      <c r="G179" s="88">
        <f t="shared" si="29"/>
        <v>0</v>
      </c>
      <c r="H179" s="16"/>
      <c r="I179" s="86"/>
      <c r="J179" s="8"/>
      <c r="K179" s="88"/>
      <c r="L179" s="86"/>
      <c r="M179" s="86"/>
      <c r="N179" s="85"/>
      <c r="O179" s="88"/>
      <c r="P179" s="86"/>
      <c r="Q179" s="86"/>
      <c r="R179" s="85"/>
      <c r="S179" s="88"/>
      <c r="T179" s="86"/>
      <c r="U179" s="86"/>
      <c r="V179" s="85"/>
    </row>
    <row r="180" spans="1:22" x14ac:dyDescent="0.2">
      <c r="A180" s="159">
        <f t="shared" si="26"/>
        <v>172</v>
      </c>
      <c r="B180" s="33" t="s">
        <v>198</v>
      </c>
      <c r="C180" s="13">
        <f t="shared" si="31"/>
        <v>0</v>
      </c>
      <c r="D180" s="86">
        <f t="shared" si="31"/>
        <v>0</v>
      </c>
      <c r="E180" s="86"/>
      <c r="F180" s="87"/>
      <c r="G180" s="88">
        <f t="shared" si="29"/>
        <v>0</v>
      </c>
      <c r="H180" s="86"/>
      <c r="I180" s="86"/>
      <c r="J180" s="85"/>
      <c r="K180" s="88"/>
      <c r="L180" s="86"/>
      <c r="M180" s="86"/>
      <c r="N180" s="85"/>
      <c r="O180" s="88"/>
      <c r="P180" s="86"/>
      <c r="Q180" s="86"/>
      <c r="R180" s="85"/>
      <c r="S180" s="88"/>
      <c r="T180" s="86"/>
      <c r="U180" s="86"/>
      <c r="V180" s="85"/>
    </row>
    <row r="181" spans="1:22" x14ac:dyDescent="0.2">
      <c r="A181" s="159">
        <f t="shared" si="26"/>
        <v>173</v>
      </c>
      <c r="B181" s="33" t="s">
        <v>190</v>
      </c>
      <c r="C181" s="13">
        <f t="shared" si="31"/>
        <v>0</v>
      </c>
      <c r="D181" s="86">
        <f t="shared" si="31"/>
        <v>0</v>
      </c>
      <c r="E181" s="86"/>
      <c r="F181" s="87"/>
      <c r="G181" s="88"/>
      <c r="H181" s="92"/>
      <c r="I181" s="92"/>
      <c r="J181" s="90"/>
      <c r="K181" s="88">
        <f>L181+N181</f>
        <v>0</v>
      </c>
      <c r="L181" s="92"/>
      <c r="M181" s="92"/>
      <c r="N181" s="90"/>
      <c r="O181" s="88"/>
      <c r="P181" s="92"/>
      <c r="Q181" s="92"/>
      <c r="R181" s="90"/>
      <c r="S181" s="88"/>
      <c r="T181" s="92"/>
      <c r="U181" s="92"/>
      <c r="V181" s="90"/>
    </row>
    <row r="182" spans="1:22" x14ac:dyDescent="0.2">
      <c r="A182" s="159">
        <v>174</v>
      </c>
      <c r="B182" s="33" t="s">
        <v>199</v>
      </c>
      <c r="C182" s="13">
        <f t="shared" si="31"/>
        <v>0</v>
      </c>
      <c r="D182" s="86">
        <f t="shared" si="31"/>
        <v>0</v>
      </c>
      <c r="E182" s="86"/>
      <c r="F182" s="87"/>
      <c r="G182" s="88">
        <f t="shared" si="29"/>
        <v>0</v>
      </c>
      <c r="H182" s="86"/>
      <c r="I182" s="92"/>
      <c r="J182" s="90"/>
      <c r="K182" s="95"/>
      <c r="L182" s="86"/>
      <c r="M182" s="92"/>
      <c r="N182" s="90"/>
      <c r="O182" s="95"/>
      <c r="P182" s="86"/>
      <c r="Q182" s="92"/>
      <c r="R182" s="90"/>
      <c r="S182" s="95"/>
      <c r="T182" s="86"/>
      <c r="U182" s="92"/>
      <c r="V182" s="90"/>
    </row>
    <row r="183" spans="1:22" x14ac:dyDescent="0.2">
      <c r="A183" s="159">
        <v>175</v>
      </c>
      <c r="B183" s="33" t="s">
        <v>200</v>
      </c>
      <c r="C183" s="13">
        <f t="shared" si="31"/>
        <v>0</v>
      </c>
      <c r="D183" s="86">
        <f t="shared" si="31"/>
        <v>0</v>
      </c>
      <c r="E183" s="86"/>
      <c r="F183" s="87"/>
      <c r="G183" s="95">
        <f t="shared" si="29"/>
        <v>0</v>
      </c>
      <c r="H183" s="86"/>
      <c r="I183" s="92"/>
      <c r="J183" s="90"/>
      <c r="K183" s="95"/>
      <c r="L183" s="86"/>
      <c r="M183" s="92"/>
      <c r="N183" s="90"/>
      <c r="O183" s="95"/>
      <c r="P183" s="86"/>
      <c r="Q183" s="92"/>
      <c r="R183" s="90"/>
      <c r="S183" s="95"/>
      <c r="T183" s="86"/>
      <c r="U183" s="92"/>
      <c r="V183" s="90"/>
    </row>
    <row r="184" spans="1:22" x14ac:dyDescent="0.2">
      <c r="A184" s="159">
        <v>176</v>
      </c>
      <c r="B184" s="33" t="s">
        <v>201</v>
      </c>
      <c r="C184" s="13">
        <f t="shared" si="31"/>
        <v>0</v>
      </c>
      <c r="D184" s="86">
        <f t="shared" si="31"/>
        <v>0</v>
      </c>
      <c r="E184" s="86"/>
      <c r="F184" s="87"/>
      <c r="G184" s="95">
        <f t="shared" si="29"/>
        <v>0</v>
      </c>
      <c r="H184" s="86"/>
      <c r="I184" s="92"/>
      <c r="J184" s="90"/>
      <c r="K184" s="95"/>
      <c r="L184" s="86"/>
      <c r="M184" s="92"/>
      <c r="N184" s="90"/>
      <c r="O184" s="95"/>
      <c r="P184" s="86"/>
      <c r="Q184" s="92"/>
      <c r="R184" s="90"/>
      <c r="S184" s="95"/>
      <c r="T184" s="86"/>
      <c r="U184" s="92"/>
      <c r="V184" s="90"/>
    </row>
    <row r="185" spans="1:22" x14ac:dyDescent="0.2">
      <c r="A185" s="159">
        <v>177</v>
      </c>
      <c r="B185" s="18" t="s">
        <v>130</v>
      </c>
      <c r="C185" s="22">
        <f t="shared" si="31"/>
        <v>0</v>
      </c>
      <c r="D185" s="20">
        <f>H185</f>
        <v>0</v>
      </c>
      <c r="E185" s="20"/>
      <c r="F185" s="21"/>
      <c r="G185" s="28">
        <f>G186</f>
        <v>0</v>
      </c>
      <c r="H185" s="20">
        <f>H186</f>
        <v>0</v>
      </c>
      <c r="I185" s="86"/>
      <c r="J185" s="90"/>
      <c r="K185" s="95"/>
      <c r="L185" s="86"/>
      <c r="M185" s="86"/>
      <c r="N185" s="90"/>
      <c r="O185" s="95"/>
      <c r="P185" s="86"/>
      <c r="Q185" s="86"/>
      <c r="R185" s="90"/>
      <c r="S185" s="95"/>
      <c r="T185" s="86"/>
      <c r="U185" s="86"/>
      <c r="V185" s="90"/>
    </row>
    <row r="186" spans="1:22" x14ac:dyDescent="0.2">
      <c r="A186" s="159">
        <f t="shared" si="26"/>
        <v>178</v>
      </c>
      <c r="B186" s="33" t="s">
        <v>202</v>
      </c>
      <c r="C186" s="13">
        <f t="shared" si="31"/>
        <v>0</v>
      </c>
      <c r="D186" s="86">
        <f t="shared" si="31"/>
        <v>0</v>
      </c>
      <c r="E186" s="86"/>
      <c r="F186" s="87"/>
      <c r="G186" s="95">
        <f t="shared" si="29"/>
        <v>0</v>
      </c>
      <c r="H186" s="86"/>
      <c r="I186" s="86"/>
      <c r="J186" s="90"/>
      <c r="K186" s="95"/>
      <c r="L186" s="86"/>
      <c r="M186" s="86"/>
      <c r="N186" s="90"/>
      <c r="O186" s="95"/>
      <c r="P186" s="86"/>
      <c r="Q186" s="86"/>
      <c r="R186" s="90"/>
      <c r="S186" s="95"/>
      <c r="T186" s="86"/>
      <c r="U186" s="86"/>
      <c r="V186" s="90"/>
    </row>
    <row r="187" spans="1:22" x14ac:dyDescent="0.2">
      <c r="A187" s="159">
        <v>179</v>
      </c>
      <c r="B187" s="18" t="s">
        <v>7</v>
      </c>
      <c r="C187" s="22">
        <f t="shared" si="31"/>
        <v>0</v>
      </c>
      <c r="D187" s="20">
        <f t="shared" si="31"/>
        <v>0</v>
      </c>
      <c r="E187" s="20">
        <f t="shared" si="31"/>
        <v>0</v>
      </c>
      <c r="F187" s="21"/>
      <c r="G187" s="22">
        <f t="shared" si="29"/>
        <v>0</v>
      </c>
      <c r="H187" s="20"/>
      <c r="I187" s="20"/>
      <c r="J187" s="25"/>
      <c r="K187" s="22"/>
      <c r="L187" s="86"/>
      <c r="M187" s="86"/>
      <c r="N187" s="85"/>
      <c r="O187" s="88"/>
      <c r="P187" s="86"/>
      <c r="Q187" s="86"/>
      <c r="R187" s="85"/>
      <c r="S187" s="22">
        <f>T187+V187</f>
        <v>0</v>
      </c>
      <c r="T187" s="20"/>
      <c r="U187" s="20"/>
      <c r="V187" s="23"/>
    </row>
    <row r="188" spans="1:22" x14ac:dyDescent="0.2">
      <c r="A188" s="159">
        <f t="shared" si="26"/>
        <v>180</v>
      </c>
      <c r="B188" s="18" t="s">
        <v>8</v>
      </c>
      <c r="C188" s="22">
        <f t="shared" si="31"/>
        <v>0</v>
      </c>
      <c r="D188" s="20">
        <f t="shared" si="31"/>
        <v>0</v>
      </c>
      <c r="E188" s="20">
        <f t="shared" si="31"/>
        <v>0</v>
      </c>
      <c r="F188" s="21"/>
      <c r="G188" s="22">
        <f t="shared" si="29"/>
        <v>0</v>
      </c>
      <c r="H188" s="20"/>
      <c r="I188" s="20"/>
      <c r="J188" s="25"/>
      <c r="K188" s="22"/>
      <c r="L188" s="86"/>
      <c r="M188" s="86"/>
      <c r="N188" s="85"/>
      <c r="O188" s="88"/>
      <c r="P188" s="86"/>
      <c r="Q188" s="86"/>
      <c r="R188" s="85"/>
      <c r="S188" s="22"/>
      <c r="T188" s="20"/>
      <c r="U188" s="20"/>
      <c r="V188" s="23"/>
    </row>
    <row r="189" spans="1:22" x14ac:dyDescent="0.2">
      <c r="A189" s="159">
        <f t="shared" si="26"/>
        <v>181</v>
      </c>
      <c r="B189" s="18" t="s">
        <v>9</v>
      </c>
      <c r="C189" s="22">
        <f t="shared" si="31"/>
        <v>0</v>
      </c>
      <c r="D189" s="20">
        <f t="shared" si="31"/>
        <v>0</v>
      </c>
      <c r="E189" s="20">
        <f t="shared" si="31"/>
        <v>0</v>
      </c>
      <c r="F189" s="21"/>
      <c r="G189" s="22">
        <f t="shared" si="29"/>
        <v>0</v>
      </c>
      <c r="H189" s="20"/>
      <c r="I189" s="20"/>
      <c r="J189" s="23"/>
      <c r="K189" s="22"/>
      <c r="L189" s="86"/>
      <c r="M189" s="86"/>
      <c r="N189" s="85"/>
      <c r="O189" s="88"/>
      <c r="P189" s="86"/>
      <c r="Q189" s="86"/>
      <c r="R189" s="85"/>
      <c r="S189" s="22">
        <f>T189+V189</f>
        <v>0</v>
      </c>
      <c r="T189" s="20"/>
      <c r="U189" s="20"/>
      <c r="V189" s="23"/>
    </row>
    <row r="190" spans="1:22" x14ac:dyDescent="0.2">
      <c r="A190" s="159">
        <f t="shared" si="26"/>
        <v>182</v>
      </c>
      <c r="B190" s="18" t="s">
        <v>10</v>
      </c>
      <c r="C190" s="22">
        <f t="shared" si="31"/>
        <v>0</v>
      </c>
      <c r="D190" s="20">
        <f t="shared" si="31"/>
        <v>0</v>
      </c>
      <c r="E190" s="20">
        <f t="shared" si="31"/>
        <v>0</v>
      </c>
      <c r="F190" s="21"/>
      <c r="G190" s="22">
        <f t="shared" si="29"/>
        <v>0</v>
      </c>
      <c r="H190" s="20"/>
      <c r="I190" s="20"/>
      <c r="J190" s="23"/>
      <c r="K190" s="22"/>
      <c r="L190" s="86"/>
      <c r="M190" s="86"/>
      <c r="N190" s="85"/>
      <c r="O190" s="88"/>
      <c r="P190" s="86"/>
      <c r="Q190" s="86"/>
      <c r="R190" s="85"/>
      <c r="S190" s="22"/>
      <c r="T190" s="20"/>
      <c r="U190" s="20"/>
      <c r="V190" s="23"/>
    </row>
    <row r="191" spans="1:22" x14ac:dyDescent="0.2">
      <c r="A191" s="159">
        <f t="shared" si="26"/>
        <v>183</v>
      </c>
      <c r="B191" s="18" t="s">
        <v>11</v>
      </c>
      <c r="C191" s="22">
        <f t="shared" si="31"/>
        <v>0</v>
      </c>
      <c r="D191" s="20">
        <f t="shared" si="31"/>
        <v>0</v>
      </c>
      <c r="E191" s="20">
        <f t="shared" si="31"/>
        <v>0</v>
      </c>
      <c r="F191" s="21"/>
      <c r="G191" s="22">
        <f t="shared" si="29"/>
        <v>0</v>
      </c>
      <c r="H191" s="20"/>
      <c r="I191" s="20"/>
      <c r="J191" s="23"/>
      <c r="K191" s="22"/>
      <c r="L191" s="86"/>
      <c r="M191" s="86"/>
      <c r="N191" s="85"/>
      <c r="O191" s="88"/>
      <c r="P191" s="86"/>
      <c r="Q191" s="86"/>
      <c r="R191" s="85"/>
      <c r="S191" s="22"/>
      <c r="T191" s="20"/>
      <c r="U191" s="20"/>
      <c r="V191" s="23"/>
    </row>
    <row r="192" spans="1:22" x14ac:dyDescent="0.2">
      <c r="A192" s="159">
        <f t="shared" si="26"/>
        <v>184</v>
      </c>
      <c r="B192" s="18" t="s">
        <v>12</v>
      </c>
      <c r="C192" s="22">
        <f t="shared" si="31"/>
        <v>0</v>
      </c>
      <c r="D192" s="20">
        <f t="shared" si="31"/>
        <v>0</v>
      </c>
      <c r="E192" s="20">
        <f t="shared" si="31"/>
        <v>0</v>
      </c>
      <c r="F192" s="21"/>
      <c r="G192" s="22">
        <f t="shared" si="29"/>
        <v>0</v>
      </c>
      <c r="H192" s="20"/>
      <c r="I192" s="20"/>
      <c r="J192" s="23"/>
      <c r="K192" s="22"/>
      <c r="L192" s="86"/>
      <c r="M192" s="86"/>
      <c r="N192" s="85"/>
      <c r="O192" s="88"/>
      <c r="P192" s="86"/>
      <c r="Q192" s="86"/>
      <c r="R192" s="85"/>
      <c r="S192" s="22"/>
      <c r="T192" s="20"/>
      <c r="U192" s="20"/>
      <c r="V192" s="23"/>
    </row>
    <row r="193" spans="1:22" x14ac:dyDescent="0.2">
      <c r="A193" s="159">
        <f t="shared" si="26"/>
        <v>185</v>
      </c>
      <c r="B193" s="18" t="s">
        <v>13</v>
      </c>
      <c r="C193" s="22">
        <f t="shared" si="31"/>
        <v>0</v>
      </c>
      <c r="D193" s="20">
        <f t="shared" si="31"/>
        <v>0</v>
      </c>
      <c r="E193" s="20">
        <f t="shared" si="31"/>
        <v>0</v>
      </c>
      <c r="F193" s="21"/>
      <c r="G193" s="22">
        <f t="shared" si="29"/>
        <v>0</v>
      </c>
      <c r="H193" s="20"/>
      <c r="I193" s="20"/>
      <c r="J193" s="23"/>
      <c r="K193" s="22"/>
      <c r="L193" s="86"/>
      <c r="M193" s="86"/>
      <c r="N193" s="85"/>
      <c r="O193" s="88"/>
      <c r="P193" s="86"/>
      <c r="Q193" s="86"/>
      <c r="R193" s="85"/>
      <c r="S193" s="22">
        <f>T193+V193</f>
        <v>0</v>
      </c>
      <c r="T193" s="20"/>
      <c r="U193" s="20"/>
      <c r="V193" s="23"/>
    </row>
    <row r="194" spans="1:22" x14ac:dyDescent="0.2">
      <c r="A194" s="159">
        <f t="shared" si="26"/>
        <v>186</v>
      </c>
      <c r="B194" s="18" t="s">
        <v>14</v>
      </c>
      <c r="C194" s="22">
        <f t="shared" si="31"/>
        <v>0</v>
      </c>
      <c r="D194" s="20">
        <f t="shared" si="31"/>
        <v>0</v>
      </c>
      <c r="E194" s="20">
        <f t="shared" si="31"/>
        <v>0</v>
      </c>
      <c r="F194" s="21"/>
      <c r="G194" s="22">
        <f t="shared" si="29"/>
        <v>0</v>
      </c>
      <c r="H194" s="20"/>
      <c r="I194" s="20"/>
      <c r="J194" s="23"/>
      <c r="K194" s="22"/>
      <c r="L194" s="86"/>
      <c r="M194" s="86"/>
      <c r="N194" s="85"/>
      <c r="O194" s="88"/>
      <c r="P194" s="86"/>
      <c r="Q194" s="86"/>
      <c r="R194" s="85"/>
      <c r="S194" s="22"/>
      <c r="T194" s="20"/>
      <c r="U194" s="20"/>
      <c r="V194" s="23"/>
    </row>
    <row r="195" spans="1:22" x14ac:dyDescent="0.2">
      <c r="A195" s="159">
        <f t="shared" si="26"/>
        <v>187</v>
      </c>
      <c r="B195" s="18" t="s">
        <v>28</v>
      </c>
      <c r="C195" s="22">
        <f t="shared" si="31"/>
        <v>0</v>
      </c>
      <c r="D195" s="20">
        <f t="shared" si="31"/>
        <v>0</v>
      </c>
      <c r="E195" s="20">
        <f t="shared" si="31"/>
        <v>0</v>
      </c>
      <c r="F195" s="21"/>
      <c r="G195" s="22">
        <f t="shared" si="29"/>
        <v>0</v>
      </c>
      <c r="H195" s="20"/>
      <c r="I195" s="20"/>
      <c r="J195" s="23"/>
      <c r="K195" s="22"/>
      <c r="L195" s="86"/>
      <c r="M195" s="86"/>
      <c r="N195" s="85"/>
      <c r="O195" s="88"/>
      <c r="P195" s="86"/>
      <c r="Q195" s="86"/>
      <c r="R195" s="85"/>
      <c r="S195" s="22"/>
      <c r="T195" s="20"/>
      <c r="U195" s="20"/>
      <c r="V195" s="23"/>
    </row>
    <row r="196" spans="1:22" ht="13.5" thickBot="1" x14ac:dyDescent="0.25">
      <c r="A196" s="161">
        <f t="shared" si="26"/>
        <v>188</v>
      </c>
      <c r="B196" s="18" t="s">
        <v>16</v>
      </c>
      <c r="C196" s="22">
        <f t="shared" si="31"/>
        <v>0</v>
      </c>
      <c r="D196" s="20">
        <f t="shared" si="31"/>
        <v>0</v>
      </c>
      <c r="E196" s="20">
        <f>I196+M196+Q196+U196</f>
        <v>0</v>
      </c>
      <c r="F196" s="21"/>
      <c r="G196" s="50">
        <f t="shared" si="29"/>
        <v>0</v>
      </c>
      <c r="H196" s="49"/>
      <c r="I196" s="49"/>
      <c r="J196" s="52"/>
      <c r="K196" s="22"/>
      <c r="L196" s="86"/>
      <c r="M196" s="86"/>
      <c r="N196" s="85"/>
      <c r="O196" s="88"/>
      <c r="P196" s="86"/>
      <c r="Q196" s="86"/>
      <c r="R196" s="85"/>
      <c r="S196" s="50">
        <f>T196+V196</f>
        <v>0</v>
      </c>
      <c r="T196" s="49"/>
      <c r="U196" s="49"/>
      <c r="V196" s="52"/>
    </row>
    <row r="197" spans="1:22" ht="45.75" thickBot="1" x14ac:dyDescent="0.3">
      <c r="A197" s="63">
        <v>189</v>
      </c>
      <c r="B197" s="64" t="s">
        <v>203</v>
      </c>
      <c r="C197" s="65">
        <f t="shared" si="31"/>
        <v>0</v>
      </c>
      <c r="D197" s="53">
        <f t="shared" si="31"/>
        <v>0</v>
      </c>
      <c r="E197" s="53"/>
      <c r="F197" s="58"/>
      <c r="G197" s="65">
        <f>G198+G200+G203+G206</f>
        <v>0</v>
      </c>
      <c r="H197" s="53">
        <f>H198+H200+H203+H206</f>
        <v>0</v>
      </c>
      <c r="I197" s="53"/>
      <c r="J197" s="58"/>
      <c r="K197" s="66">
        <f>K201</f>
        <v>0</v>
      </c>
      <c r="L197" s="53">
        <f>L201</f>
        <v>0</v>
      </c>
      <c r="M197" s="53"/>
      <c r="N197" s="58"/>
      <c r="O197" s="65"/>
      <c r="P197" s="53"/>
      <c r="Q197" s="53"/>
      <c r="R197" s="58"/>
      <c r="S197" s="53"/>
      <c r="T197" s="53"/>
      <c r="U197" s="53"/>
      <c r="V197" s="58"/>
    </row>
    <row r="198" spans="1:22" x14ac:dyDescent="0.2">
      <c r="A198" s="68">
        <v>190</v>
      </c>
      <c r="B198" s="82" t="s">
        <v>127</v>
      </c>
      <c r="C198" s="77">
        <f t="shared" si="31"/>
        <v>0</v>
      </c>
      <c r="D198" s="75">
        <f t="shared" si="31"/>
        <v>0</v>
      </c>
      <c r="E198" s="75"/>
      <c r="F198" s="78"/>
      <c r="G198" s="79">
        <f>G199</f>
        <v>0</v>
      </c>
      <c r="H198" s="75">
        <f>H199</f>
        <v>0</v>
      </c>
      <c r="I198" s="109"/>
      <c r="J198" s="101"/>
      <c r="K198" s="162"/>
      <c r="L198" s="109"/>
      <c r="M198" s="109"/>
      <c r="N198" s="163"/>
      <c r="O198" s="162"/>
      <c r="P198" s="109"/>
      <c r="Q198" s="109"/>
      <c r="R198" s="163"/>
      <c r="S198" s="162"/>
      <c r="T198" s="109"/>
      <c r="U198" s="109"/>
      <c r="V198" s="163"/>
    </row>
    <row r="199" spans="1:22" x14ac:dyDescent="0.2">
      <c r="A199" s="83">
        <f t="shared" si="26"/>
        <v>191</v>
      </c>
      <c r="B199" s="33" t="s">
        <v>204</v>
      </c>
      <c r="C199" s="13">
        <f t="shared" si="31"/>
        <v>0</v>
      </c>
      <c r="D199" s="86">
        <f t="shared" si="31"/>
        <v>0</v>
      </c>
      <c r="E199" s="86"/>
      <c r="F199" s="85"/>
      <c r="G199" s="92">
        <f t="shared" si="29"/>
        <v>0</v>
      </c>
      <c r="H199" s="87"/>
      <c r="I199" s="86"/>
      <c r="J199" s="87"/>
      <c r="K199" s="88"/>
      <c r="L199" s="86"/>
      <c r="M199" s="86"/>
      <c r="N199" s="85"/>
      <c r="O199" s="88"/>
      <c r="P199" s="86"/>
      <c r="Q199" s="86"/>
      <c r="R199" s="85"/>
      <c r="S199" s="88"/>
      <c r="T199" s="86"/>
      <c r="U199" s="86"/>
      <c r="V199" s="85"/>
    </row>
    <row r="200" spans="1:22" x14ac:dyDescent="0.2">
      <c r="A200" s="83">
        <f t="shared" si="26"/>
        <v>192</v>
      </c>
      <c r="B200" s="18" t="s">
        <v>205</v>
      </c>
      <c r="C200" s="22">
        <f t="shared" si="31"/>
        <v>0</v>
      </c>
      <c r="D200" s="20">
        <f t="shared" si="31"/>
        <v>0</v>
      </c>
      <c r="E200" s="20"/>
      <c r="F200" s="23"/>
      <c r="G200" s="89">
        <f>G202</f>
        <v>0</v>
      </c>
      <c r="H200" s="20">
        <f>H202</f>
        <v>0</v>
      </c>
      <c r="I200" s="86"/>
      <c r="J200" s="87"/>
      <c r="K200" s="28">
        <f>K201</f>
        <v>0</v>
      </c>
      <c r="L200" s="20">
        <f>L201</f>
        <v>0</v>
      </c>
      <c r="M200" s="86"/>
      <c r="N200" s="85"/>
      <c r="O200" s="88"/>
      <c r="P200" s="86"/>
      <c r="Q200" s="86"/>
      <c r="R200" s="85"/>
      <c r="S200" s="88"/>
      <c r="T200" s="86"/>
      <c r="U200" s="86"/>
      <c r="V200" s="85"/>
    </row>
    <row r="201" spans="1:22" x14ac:dyDescent="0.2">
      <c r="A201" s="83">
        <f t="shared" si="26"/>
        <v>193</v>
      </c>
      <c r="B201" s="33" t="s">
        <v>206</v>
      </c>
      <c r="C201" s="13">
        <f t="shared" si="31"/>
        <v>0</v>
      </c>
      <c r="D201" s="16">
        <f t="shared" si="31"/>
        <v>0</v>
      </c>
      <c r="E201" s="20"/>
      <c r="F201" s="23"/>
      <c r="G201" s="19"/>
      <c r="H201" s="89"/>
      <c r="I201" s="86"/>
      <c r="J201" s="87"/>
      <c r="K201" s="88">
        <f>L201+N201</f>
        <v>0</v>
      </c>
      <c r="L201" s="86"/>
      <c r="M201" s="86"/>
      <c r="N201" s="85"/>
      <c r="O201" s="88"/>
      <c r="P201" s="86"/>
      <c r="Q201" s="86"/>
      <c r="R201" s="85"/>
      <c r="S201" s="88"/>
      <c r="T201" s="86"/>
      <c r="U201" s="86"/>
      <c r="V201" s="85"/>
    </row>
    <row r="202" spans="1:22" x14ac:dyDescent="0.2">
      <c r="A202" s="83">
        <f t="shared" si="26"/>
        <v>194</v>
      </c>
      <c r="B202" s="33" t="s">
        <v>207</v>
      </c>
      <c r="C202" s="13">
        <f t="shared" si="31"/>
        <v>0</v>
      </c>
      <c r="D202" s="86">
        <f t="shared" si="31"/>
        <v>0</v>
      </c>
      <c r="E202" s="86"/>
      <c r="F202" s="85"/>
      <c r="G202" s="92">
        <f t="shared" si="29"/>
        <v>0</v>
      </c>
      <c r="H202" s="87"/>
      <c r="I202" s="86"/>
      <c r="J202" s="87"/>
      <c r="K202" s="88"/>
      <c r="L202" s="86"/>
      <c r="M202" s="86"/>
      <c r="N202" s="85"/>
      <c r="O202" s="88"/>
      <c r="P202" s="86"/>
      <c r="Q202" s="86"/>
      <c r="R202" s="85"/>
      <c r="S202" s="88"/>
      <c r="T202" s="86"/>
      <c r="U202" s="86"/>
      <c r="V202" s="85"/>
    </row>
    <row r="203" spans="1:22" x14ac:dyDescent="0.2">
      <c r="A203" s="83">
        <v>195</v>
      </c>
      <c r="B203" s="18" t="s">
        <v>130</v>
      </c>
      <c r="C203" s="22">
        <f t="shared" si="31"/>
        <v>0</v>
      </c>
      <c r="D203" s="20">
        <f t="shared" si="31"/>
        <v>0</v>
      </c>
      <c r="E203" s="20"/>
      <c r="F203" s="23"/>
      <c r="G203" s="89">
        <f t="shared" si="29"/>
        <v>0</v>
      </c>
      <c r="H203" s="20">
        <f>H204+H205</f>
        <v>0</v>
      </c>
      <c r="I203" s="86"/>
      <c r="J203" s="87"/>
      <c r="K203" s="88"/>
      <c r="L203" s="86"/>
      <c r="M203" s="86"/>
      <c r="N203" s="85"/>
      <c r="O203" s="88"/>
      <c r="P203" s="86"/>
      <c r="Q203" s="86"/>
      <c r="R203" s="85"/>
      <c r="S203" s="28"/>
      <c r="T203" s="20"/>
      <c r="U203" s="86"/>
      <c r="V203" s="85"/>
    </row>
    <row r="204" spans="1:22" ht="25.5" x14ac:dyDescent="0.2">
      <c r="A204" s="83">
        <f t="shared" si="26"/>
        <v>196</v>
      </c>
      <c r="B204" s="96" t="s">
        <v>208</v>
      </c>
      <c r="C204" s="13">
        <f t="shared" si="31"/>
        <v>0</v>
      </c>
      <c r="D204" s="16">
        <f t="shared" si="31"/>
        <v>0</v>
      </c>
      <c r="E204" s="43"/>
      <c r="F204" s="44"/>
      <c r="G204" s="11">
        <f t="shared" si="29"/>
        <v>0</v>
      </c>
      <c r="H204" s="164"/>
      <c r="I204" s="133"/>
      <c r="J204" s="152"/>
      <c r="K204" s="132"/>
      <c r="L204" s="133"/>
      <c r="M204" s="133"/>
      <c r="N204" s="134"/>
      <c r="O204" s="132"/>
      <c r="P204" s="133"/>
      <c r="Q204" s="133"/>
      <c r="R204" s="134"/>
      <c r="S204" s="132"/>
      <c r="T204" s="133"/>
      <c r="U204" s="133"/>
      <c r="V204" s="134"/>
    </row>
    <row r="205" spans="1:22" x14ac:dyDescent="0.2">
      <c r="A205" s="83">
        <f t="shared" si="26"/>
        <v>197</v>
      </c>
      <c r="B205" s="18" t="s">
        <v>209</v>
      </c>
      <c r="C205" s="13">
        <f t="shared" si="31"/>
        <v>0</v>
      </c>
      <c r="D205" s="16">
        <f t="shared" si="31"/>
        <v>0</v>
      </c>
      <c r="E205" s="37"/>
      <c r="F205" s="40"/>
      <c r="G205" s="92">
        <f t="shared" si="29"/>
        <v>0</v>
      </c>
      <c r="H205" s="43"/>
      <c r="I205" s="133"/>
      <c r="J205" s="152"/>
      <c r="K205" s="132"/>
      <c r="L205" s="133"/>
      <c r="M205" s="133"/>
      <c r="N205" s="134"/>
      <c r="O205" s="132"/>
      <c r="P205" s="133"/>
      <c r="Q205" s="133"/>
      <c r="R205" s="134"/>
      <c r="S205" s="16"/>
      <c r="T205" s="133"/>
      <c r="U205" s="133"/>
      <c r="V205" s="134"/>
    </row>
    <row r="206" spans="1:22" x14ac:dyDescent="0.2">
      <c r="A206" s="83">
        <v>198</v>
      </c>
      <c r="B206" s="18" t="s">
        <v>36</v>
      </c>
      <c r="C206" s="22">
        <f t="shared" si="31"/>
        <v>0</v>
      </c>
      <c r="D206" s="20">
        <f t="shared" si="31"/>
        <v>0</v>
      </c>
      <c r="E206" s="37"/>
      <c r="F206" s="40"/>
      <c r="G206" s="19">
        <f t="shared" si="29"/>
        <v>0</v>
      </c>
      <c r="H206" s="37">
        <f>H207</f>
        <v>0</v>
      </c>
      <c r="I206" s="133"/>
      <c r="J206" s="165"/>
      <c r="K206" s="166"/>
      <c r="L206" s="133"/>
      <c r="M206" s="133"/>
      <c r="N206" s="167"/>
      <c r="O206" s="132"/>
      <c r="P206" s="133"/>
      <c r="Q206" s="133"/>
      <c r="R206" s="167"/>
      <c r="S206" s="166"/>
      <c r="T206" s="133"/>
      <c r="U206" s="133"/>
      <c r="V206" s="167"/>
    </row>
    <row r="207" spans="1:22" ht="13.5" thickBot="1" x14ac:dyDescent="0.25">
      <c r="A207" s="112">
        <v>199</v>
      </c>
      <c r="B207" s="128" t="s">
        <v>210</v>
      </c>
      <c r="C207" s="42">
        <f t="shared" si="31"/>
        <v>0</v>
      </c>
      <c r="D207" s="43">
        <f t="shared" si="31"/>
        <v>0</v>
      </c>
      <c r="E207" s="37"/>
      <c r="F207" s="40"/>
      <c r="G207" s="151">
        <f t="shared" si="29"/>
        <v>0</v>
      </c>
      <c r="H207" s="43"/>
      <c r="I207" s="133"/>
      <c r="J207" s="165"/>
      <c r="K207" s="166"/>
      <c r="L207" s="133"/>
      <c r="M207" s="133"/>
      <c r="N207" s="167"/>
      <c r="O207" s="132"/>
      <c r="P207" s="133"/>
      <c r="Q207" s="133"/>
      <c r="R207" s="167"/>
      <c r="S207" s="166"/>
      <c r="T207" s="133"/>
      <c r="U207" s="133"/>
      <c r="V207" s="167"/>
    </row>
    <row r="208" spans="1:22" ht="13.5" thickBot="1" x14ac:dyDescent="0.25">
      <c r="A208" s="63">
        <v>200</v>
      </c>
      <c r="B208" s="168" t="s">
        <v>211</v>
      </c>
      <c r="C208" s="118">
        <f t="shared" si="31"/>
        <v>12693.383999999998</v>
      </c>
      <c r="D208" s="119">
        <f t="shared" si="31"/>
        <v>12681.564999999999</v>
      </c>
      <c r="E208" s="53">
        <f>I208+M208+Q208+U208</f>
        <v>8236.3879999999972</v>
      </c>
      <c r="F208" s="54">
        <f>J208+N208+R208+V208</f>
        <v>11.819000000000001</v>
      </c>
      <c r="G208" s="119">
        <f>G9+G44+G99+G140+G175+G197</f>
        <v>5817.7960000000003</v>
      </c>
      <c r="H208" s="119">
        <f>H9+H44+H99+H140+H175+H197</f>
        <v>5807.9770000000008</v>
      </c>
      <c r="I208" s="53">
        <f>I9+I44+I99+I140+I175+I197</f>
        <v>3611.0589999999993</v>
      </c>
      <c r="J208" s="119">
        <f>J9+J44+J99+J140+J175+J197</f>
        <v>9.8190000000000008</v>
      </c>
      <c r="K208" s="57">
        <f>K9+K44+K99+K140+K175+K197</f>
        <v>239.86199999999997</v>
      </c>
      <c r="L208" s="53">
        <f>L9+L44+L140+L175+L197</f>
        <v>239.86199999999997</v>
      </c>
      <c r="M208" s="53">
        <f>M9+M44+M140+M175+M197</f>
        <v>82.593000000000004</v>
      </c>
      <c r="N208" s="67">
        <f>N9+N44+N99+N140+N175+N197</f>
        <v>0</v>
      </c>
      <c r="O208" s="65">
        <f>O9+O44+O99+O140+O175+O197</f>
        <v>6048.3999999999978</v>
      </c>
      <c r="P208" s="53">
        <f>P9+P44+P99+P140+P175+P197</f>
        <v>6048.3999999999978</v>
      </c>
      <c r="Q208" s="53">
        <f>Q9+Q44+Q99+Q140+Q175+Q197</f>
        <v>4518.9329999999982</v>
      </c>
      <c r="R208" s="53"/>
      <c r="S208" s="59">
        <f>S9+S44+S99+S140+S175+S197</f>
        <v>587.32600000000002</v>
      </c>
      <c r="T208" s="119">
        <f>T9+T44+T99+T140+T175+T197</f>
        <v>585.32600000000002</v>
      </c>
      <c r="U208" s="119">
        <f>U9+U44+U99+U140+U175+U197</f>
        <v>23.803000000000004</v>
      </c>
      <c r="V208" s="58">
        <f>V9+V20+SUM(V34:V43)+V44+V99+V140+V175+V197</f>
        <v>2</v>
      </c>
    </row>
    <row r="211" spans="2:2" x14ac:dyDescent="0.2">
      <c r="B211" s="6" t="s">
        <v>110</v>
      </c>
    </row>
    <row r="212" spans="2:2" x14ac:dyDescent="0.2">
      <c r="B212" s="6" t="s">
        <v>216</v>
      </c>
    </row>
    <row r="213" spans="2:2" x14ac:dyDescent="0.2">
      <c r="B213" s="6" t="s">
        <v>212</v>
      </c>
    </row>
    <row r="214" spans="2:2" x14ac:dyDescent="0.2">
      <c r="B214" s="6" t="s">
        <v>111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T189"/>
  <sheetViews>
    <sheetView topLeftCell="C4" zoomScaleNormal="100" workbookViewId="0">
      <pane xSplit="2" ySplit="13" topLeftCell="E17" activePane="bottomRight" state="frozen"/>
      <selection activeCell="C4" sqref="C4"/>
      <selection pane="topRight" activeCell="E4" sqref="E4"/>
      <selection pane="bottomLeft" activeCell="C17" sqref="C17"/>
      <selection pane="bottomRight" activeCell="I7" sqref="I7:N7"/>
    </sheetView>
  </sheetViews>
  <sheetFormatPr defaultRowHeight="12.75" x14ac:dyDescent="0.2"/>
  <cols>
    <col min="1" max="2" width="9.140625" hidden="1" customWidth="1"/>
    <col min="3" max="3" width="4.42578125" customWidth="1"/>
    <col min="4" max="4" width="48.28515625" customWidth="1"/>
    <col min="5" max="5" width="12.7109375" customWidth="1"/>
    <col min="6" max="6" width="12.28515625" customWidth="1"/>
    <col min="7" max="7" width="11.7109375" customWidth="1"/>
    <col min="8" max="8" width="11.28515625" customWidth="1"/>
    <col min="9" max="9" width="11.5703125" customWidth="1"/>
    <col min="10" max="10" width="11.28515625" customWidth="1"/>
    <col min="11" max="11" width="11.7109375" customWidth="1"/>
    <col min="12" max="12" width="11.28515625" customWidth="1"/>
    <col min="13" max="13" width="11.7109375" customWidth="1"/>
    <col min="14" max="14" width="11.28515625" customWidth="1"/>
    <col min="16" max="16" width="11.7109375" customWidth="1"/>
  </cols>
  <sheetData>
    <row r="1" spans="3:16" hidden="1" x14ac:dyDescent="0.2"/>
    <row r="2" spans="3:16" hidden="1" x14ac:dyDescent="0.2">
      <c r="G2" s="857"/>
      <c r="H2" s="857"/>
    </row>
    <row r="3" spans="3:16" hidden="1" x14ac:dyDescent="0.2"/>
    <row r="4" spans="3:16" x14ac:dyDescent="0.2">
      <c r="J4" s="7"/>
      <c r="K4" s="7" t="s">
        <v>25</v>
      </c>
      <c r="L4" s="7"/>
      <c r="M4" s="7"/>
      <c r="N4" s="7"/>
    </row>
    <row r="5" spans="3:16" x14ac:dyDescent="0.2">
      <c r="J5" s="7"/>
      <c r="K5" s="7" t="s">
        <v>559</v>
      </c>
      <c r="L5" s="6"/>
      <c r="M5" s="6"/>
      <c r="N5" s="7"/>
    </row>
    <row r="6" spans="3:16" x14ac:dyDescent="0.2">
      <c r="J6" s="7"/>
      <c r="K6" s="7" t="s">
        <v>41</v>
      </c>
      <c r="L6" s="7"/>
      <c r="M6" s="7"/>
      <c r="N6" s="7"/>
    </row>
    <row r="7" spans="3:16" x14ac:dyDescent="0.2">
      <c r="I7" s="821" t="s">
        <v>662</v>
      </c>
      <c r="J7" s="857"/>
      <c r="K7" s="857"/>
      <c r="L7" s="857"/>
      <c r="M7" s="857"/>
      <c r="N7" s="857"/>
    </row>
    <row r="8" spans="3:16" x14ac:dyDescent="0.2">
      <c r="J8" s="821" t="s">
        <v>691</v>
      </c>
      <c r="K8" s="861"/>
      <c r="L8" s="861"/>
      <c r="M8" s="861"/>
      <c r="N8" s="861"/>
    </row>
    <row r="9" spans="3:16" x14ac:dyDescent="0.2">
      <c r="J9" s="7"/>
      <c r="K9" s="821" t="s">
        <v>639</v>
      </c>
      <c r="L9" s="861"/>
      <c r="M9" s="861"/>
      <c r="N9" s="175"/>
    </row>
    <row r="10" spans="3:16" x14ac:dyDescent="0.2">
      <c r="K10" s="7"/>
      <c r="L10" s="7"/>
      <c r="M10" s="9"/>
    </row>
    <row r="11" spans="3:16" ht="15.75" x14ac:dyDescent="0.2">
      <c r="C11" s="6" t="s">
        <v>40</v>
      </c>
      <c r="D11" s="858" t="s">
        <v>479</v>
      </c>
      <c r="E11" s="859"/>
      <c r="F11" s="859"/>
      <c r="G11" s="859"/>
      <c r="H11" s="859"/>
      <c r="I11" s="859"/>
      <c r="J11" s="859"/>
      <c r="K11" s="170"/>
      <c r="L11" s="223"/>
      <c r="M11" s="223"/>
      <c r="N11" s="223"/>
      <c r="O11" s="170"/>
      <c r="P11" s="170"/>
    </row>
    <row r="12" spans="3:16" x14ac:dyDescent="0.2">
      <c r="D12" s="170"/>
      <c r="E12" s="860"/>
      <c r="F12" s="860"/>
      <c r="G12" s="860"/>
      <c r="H12" s="860"/>
      <c r="I12" s="170"/>
      <c r="J12" s="170"/>
      <c r="K12" s="170"/>
      <c r="L12" s="170"/>
      <c r="M12" s="170"/>
      <c r="N12" s="170"/>
      <c r="O12" s="170"/>
      <c r="P12" s="170"/>
    </row>
    <row r="13" spans="3:16" x14ac:dyDescent="0.2">
      <c r="D13" s="170"/>
      <c r="E13" s="224"/>
      <c r="F13" s="224"/>
      <c r="G13" s="224"/>
      <c r="H13" s="224"/>
      <c r="I13" s="170"/>
      <c r="J13" s="170"/>
      <c r="K13" s="170"/>
      <c r="L13" s="170"/>
      <c r="M13" s="170"/>
      <c r="N13" s="170"/>
      <c r="O13" s="170"/>
      <c r="P13" s="170"/>
    </row>
    <row r="14" spans="3:16" ht="13.5" thickBot="1" x14ac:dyDescent="0.25">
      <c r="D14" s="170"/>
      <c r="E14" s="170"/>
      <c r="F14" s="170"/>
      <c r="G14" s="170"/>
      <c r="H14" s="170"/>
      <c r="I14" s="170"/>
      <c r="J14" s="170"/>
      <c r="K14" s="170"/>
      <c r="L14" s="7" t="s">
        <v>607</v>
      </c>
      <c r="M14" s="170"/>
      <c r="N14" s="170"/>
      <c r="O14" s="170"/>
      <c r="P14" s="170"/>
    </row>
    <row r="15" spans="3:16" ht="12.75" customHeight="1" x14ac:dyDescent="0.2">
      <c r="C15" s="852" t="s">
        <v>0</v>
      </c>
      <c r="D15" s="854" t="s">
        <v>42</v>
      </c>
      <c r="E15" s="850" t="s">
        <v>43</v>
      </c>
      <c r="F15" s="856"/>
      <c r="G15" s="850" t="s">
        <v>45</v>
      </c>
      <c r="H15" s="856"/>
      <c r="I15" s="850" t="s">
        <v>297</v>
      </c>
      <c r="J15" s="856"/>
      <c r="K15" s="850" t="s">
        <v>295</v>
      </c>
      <c r="L15" s="856"/>
      <c r="M15" s="850" t="s">
        <v>47</v>
      </c>
      <c r="N15" s="862"/>
      <c r="O15" s="850" t="s">
        <v>625</v>
      </c>
      <c r="P15" s="851"/>
    </row>
    <row r="16" spans="3:16" ht="39" thickBot="1" x14ac:dyDescent="0.25">
      <c r="C16" s="853"/>
      <c r="D16" s="855"/>
      <c r="E16" s="358" t="s">
        <v>43</v>
      </c>
      <c r="F16" s="359" t="s">
        <v>588</v>
      </c>
      <c r="G16" s="447" t="s">
        <v>43</v>
      </c>
      <c r="H16" s="448" t="s">
        <v>588</v>
      </c>
      <c r="I16" s="447" t="s">
        <v>43</v>
      </c>
      <c r="J16" s="448" t="s">
        <v>588</v>
      </c>
      <c r="K16" s="447" t="s">
        <v>43</v>
      </c>
      <c r="L16" s="448" t="s">
        <v>588</v>
      </c>
      <c r="M16" s="447" t="s">
        <v>43</v>
      </c>
      <c r="N16" s="449" t="s">
        <v>588</v>
      </c>
      <c r="O16" s="450" t="s">
        <v>43</v>
      </c>
      <c r="P16" s="451" t="s">
        <v>588</v>
      </c>
    </row>
    <row r="17" spans="3:18" x14ac:dyDescent="0.2">
      <c r="C17" s="360">
        <v>1</v>
      </c>
      <c r="D17" s="361" t="s">
        <v>51</v>
      </c>
      <c r="E17" s="123">
        <f t="shared" ref="E17:F23" si="0">G17+I17+K17+M17</f>
        <v>125.95699999999999</v>
      </c>
      <c r="F17" s="155">
        <f t="shared" si="0"/>
        <v>79.894000000000005</v>
      </c>
      <c r="G17" s="362">
        <f>G18</f>
        <v>125.95699999999999</v>
      </c>
      <c r="H17" s="363">
        <f>H18</f>
        <v>79.894000000000005</v>
      </c>
      <c r="I17" s="452"/>
      <c r="J17" s="453"/>
      <c r="K17" s="452"/>
      <c r="L17" s="453"/>
      <c r="M17" s="452"/>
      <c r="N17" s="454"/>
      <c r="O17" s="364"/>
      <c r="P17" s="365"/>
    </row>
    <row r="18" spans="3:18" ht="12.75" customHeight="1" x14ac:dyDescent="0.2">
      <c r="C18" s="366">
        <v>2</v>
      </c>
      <c r="D18" s="15" t="s">
        <v>53</v>
      </c>
      <c r="E18" s="13">
        <f t="shared" si="0"/>
        <v>125.95699999999999</v>
      </c>
      <c r="F18" s="25">
        <f t="shared" si="0"/>
        <v>79.894000000000005</v>
      </c>
      <c r="G18" s="455">
        <v>125.95699999999999</v>
      </c>
      <c r="H18" s="456">
        <f>9.894+70</f>
        <v>79.894000000000005</v>
      </c>
      <c r="I18" s="457"/>
      <c r="J18" s="458"/>
      <c r="K18" s="457"/>
      <c r="L18" s="458"/>
      <c r="M18" s="457"/>
      <c r="N18" s="459"/>
      <c r="O18" s="367"/>
      <c r="P18" s="368"/>
    </row>
    <row r="19" spans="3:18" x14ac:dyDescent="0.2">
      <c r="C19" s="366">
        <f>C18+1</f>
        <v>3</v>
      </c>
      <c r="D19" s="18" t="s">
        <v>54</v>
      </c>
      <c r="E19" s="369">
        <f t="shared" si="0"/>
        <v>5508.3410099999992</v>
      </c>
      <c r="F19" s="23">
        <f t="shared" si="0"/>
        <v>4843.5419999999995</v>
      </c>
      <c r="G19" s="22">
        <f>SUM(G20:G27)</f>
        <v>4911.2779999999993</v>
      </c>
      <c r="H19" s="29">
        <f>SUM(H20:H24)</f>
        <v>4311.8059999999996</v>
      </c>
      <c r="I19" s="370">
        <f>SUM(I20:I24)</f>
        <v>597.06300999999996</v>
      </c>
      <c r="J19" s="23">
        <f>SUM(J20:J24)</f>
        <v>531.73599999999999</v>
      </c>
      <c r="K19" s="371"/>
      <c r="L19" s="372"/>
      <c r="M19" s="371"/>
      <c r="N19" s="372"/>
      <c r="O19" s="23">
        <f>SUM(O20:O27)</f>
        <v>424.05900000000003</v>
      </c>
      <c r="P19" s="23"/>
    </row>
    <row r="20" spans="3:18" x14ac:dyDescent="0.2">
      <c r="C20" s="366">
        <f t="shared" ref="C20:C83" si="1">C19+1</f>
        <v>4</v>
      </c>
      <c r="D20" s="15" t="s">
        <v>26</v>
      </c>
      <c r="E20" s="373">
        <f t="shared" si="0"/>
        <v>5053.9860099999996</v>
      </c>
      <c r="F20" s="25">
        <f t="shared" si="0"/>
        <v>4658.4489999999996</v>
      </c>
      <c r="G20" s="374">
        <f>4536.799+20.124</f>
        <v>4556.9229999999998</v>
      </c>
      <c r="H20" s="375">
        <v>4224.5889999999999</v>
      </c>
      <c r="I20" s="376">
        <f>496.94352+0.11949</f>
        <v>497.06300999999996</v>
      </c>
      <c r="J20" s="25">
        <v>433.86</v>
      </c>
      <c r="K20" s="13"/>
      <c r="L20" s="25"/>
      <c r="M20" s="13"/>
      <c r="N20" s="377"/>
      <c r="O20" s="378"/>
      <c r="P20" s="379"/>
    </row>
    <row r="21" spans="3:18" x14ac:dyDescent="0.2">
      <c r="C21" s="366">
        <f t="shared" si="1"/>
        <v>5</v>
      </c>
      <c r="D21" s="15" t="s">
        <v>55</v>
      </c>
      <c r="E21" s="380">
        <f t="shared" ref="E21:F61" si="2">G21+I21+K21+M21</f>
        <v>83.784999999999997</v>
      </c>
      <c r="F21" s="25"/>
      <c r="G21" s="13">
        <v>83.784999999999997</v>
      </c>
      <c r="H21" s="25"/>
      <c r="I21" s="13"/>
      <c r="J21" s="25"/>
      <c r="K21" s="13"/>
      <c r="L21" s="25"/>
      <c r="M21" s="13"/>
      <c r="N21" s="377"/>
      <c r="O21" s="367"/>
      <c r="P21" s="368"/>
      <c r="R21" s="7"/>
    </row>
    <row r="22" spans="3:18" x14ac:dyDescent="0.2">
      <c r="C22" s="366">
        <f t="shared" si="1"/>
        <v>6</v>
      </c>
      <c r="D22" s="15" t="s">
        <v>621</v>
      </c>
      <c r="E22" s="380">
        <f t="shared" si="2"/>
        <v>76.2</v>
      </c>
      <c r="F22" s="25"/>
      <c r="G22" s="13">
        <v>76.2</v>
      </c>
      <c r="H22" s="25"/>
      <c r="I22" s="13"/>
      <c r="J22" s="25"/>
      <c r="K22" s="13"/>
      <c r="L22" s="25"/>
      <c r="M22" s="13"/>
      <c r="N22" s="377"/>
      <c r="O22" s="367"/>
      <c r="P22" s="368"/>
    </row>
    <row r="23" spans="3:18" x14ac:dyDescent="0.2">
      <c r="C23" s="366">
        <f t="shared" si="1"/>
        <v>7</v>
      </c>
      <c r="D23" s="10" t="s">
        <v>545</v>
      </c>
      <c r="E23" s="380">
        <f t="shared" si="2"/>
        <v>96.72</v>
      </c>
      <c r="F23" s="25">
        <f t="shared" si="0"/>
        <v>87.216999999999999</v>
      </c>
      <c r="G23" s="460">
        <v>96.72</v>
      </c>
      <c r="H23" s="456">
        <v>87.216999999999999</v>
      </c>
      <c r="I23" s="378"/>
      <c r="J23" s="379"/>
      <c r="K23" s="378"/>
      <c r="L23" s="379"/>
      <c r="M23" s="378"/>
      <c r="N23" s="377"/>
      <c r="O23" s="367"/>
      <c r="P23" s="368"/>
    </row>
    <row r="24" spans="3:18" x14ac:dyDescent="0.2">
      <c r="C24" s="366">
        <f t="shared" si="1"/>
        <v>8</v>
      </c>
      <c r="D24" s="15" t="s">
        <v>56</v>
      </c>
      <c r="E24" s="380">
        <f t="shared" si="2"/>
        <v>100</v>
      </c>
      <c r="F24" s="25">
        <f>H24+J24+L24+N24</f>
        <v>97.876000000000005</v>
      </c>
      <c r="G24" s="13"/>
      <c r="H24" s="25"/>
      <c r="I24" s="13">
        <v>100</v>
      </c>
      <c r="J24" s="25">
        <v>97.876000000000005</v>
      </c>
      <c r="K24" s="13"/>
      <c r="L24" s="25"/>
      <c r="M24" s="13"/>
      <c r="N24" s="377"/>
      <c r="O24" s="367"/>
      <c r="P24" s="368"/>
    </row>
    <row r="25" spans="3:18" ht="39.75" customHeight="1" x14ac:dyDescent="0.2">
      <c r="C25" s="366">
        <f t="shared" si="1"/>
        <v>9</v>
      </c>
      <c r="D25" s="381" t="s">
        <v>493</v>
      </c>
      <c r="E25" s="380">
        <f t="shared" si="2"/>
        <v>17.649999999999999</v>
      </c>
      <c r="F25" s="25"/>
      <c r="G25" s="13">
        <v>17.649999999999999</v>
      </c>
      <c r="H25" s="25"/>
      <c r="I25" s="13"/>
      <c r="J25" s="25"/>
      <c r="K25" s="13"/>
      <c r="L25" s="25"/>
      <c r="M25" s="13"/>
      <c r="N25" s="377"/>
      <c r="O25" s="367"/>
      <c r="P25" s="368"/>
    </row>
    <row r="26" spans="3:18" x14ac:dyDescent="0.2">
      <c r="C26" s="366">
        <f t="shared" si="1"/>
        <v>10</v>
      </c>
      <c r="D26" s="382" t="s">
        <v>77</v>
      </c>
      <c r="E26" s="380">
        <f t="shared" si="2"/>
        <v>80</v>
      </c>
      <c r="F26" s="25"/>
      <c r="G26" s="13">
        <v>80</v>
      </c>
      <c r="H26" s="25"/>
      <c r="I26" s="13"/>
      <c r="J26" s="25"/>
      <c r="K26" s="13"/>
      <c r="L26" s="25"/>
      <c r="M26" s="13"/>
      <c r="N26" s="377"/>
      <c r="O26" s="367"/>
      <c r="P26" s="368"/>
    </row>
    <row r="27" spans="3:18" ht="25.5" x14ac:dyDescent="0.2">
      <c r="C27" s="366">
        <f t="shared" si="1"/>
        <v>11</v>
      </c>
      <c r="D27" s="382" t="s">
        <v>624</v>
      </c>
      <c r="E27" s="380">
        <f>G27+I27+K27+M27+O27</f>
        <v>424.05900000000003</v>
      </c>
      <c r="F27" s="25"/>
      <c r="G27" s="13"/>
      <c r="H27" s="25"/>
      <c r="I27" s="13"/>
      <c r="J27" s="25"/>
      <c r="K27" s="13"/>
      <c r="L27" s="25"/>
      <c r="M27" s="13"/>
      <c r="N27" s="377"/>
      <c r="O27" s="367">
        <v>424.05900000000003</v>
      </c>
      <c r="P27" s="368"/>
    </row>
    <row r="28" spans="3:18" x14ac:dyDescent="0.2">
      <c r="C28" s="366">
        <f t="shared" si="1"/>
        <v>12</v>
      </c>
      <c r="D28" s="18" t="s">
        <v>57</v>
      </c>
      <c r="E28" s="383">
        <f t="shared" si="2"/>
        <v>100.559</v>
      </c>
      <c r="F28" s="23">
        <f>H28+J28+L28+N28</f>
        <v>97.424000000000007</v>
      </c>
      <c r="G28" s="22">
        <v>100.559</v>
      </c>
      <c r="H28" s="23">
        <v>97.424000000000007</v>
      </c>
      <c r="I28" s="376"/>
      <c r="J28" s="25"/>
      <c r="K28" s="13"/>
      <c r="L28" s="25"/>
      <c r="M28" s="13"/>
      <c r="N28" s="377"/>
      <c r="O28" s="367"/>
      <c r="P28" s="368"/>
    </row>
    <row r="29" spans="3:18" ht="12.75" customHeight="1" x14ac:dyDescent="0.2">
      <c r="C29" s="366">
        <f t="shared" si="1"/>
        <v>13</v>
      </c>
      <c r="D29" s="384" t="s">
        <v>58</v>
      </c>
      <c r="E29" s="385">
        <f t="shared" si="2"/>
        <v>8329.6697199999999</v>
      </c>
      <c r="F29" s="386">
        <f t="shared" si="2"/>
        <v>45</v>
      </c>
      <c r="G29" s="22">
        <f>SUM(G30:G51)</f>
        <v>3638.8</v>
      </c>
      <c r="H29" s="25"/>
      <c r="I29" s="387">
        <f>SUM(I30:I53)</f>
        <v>4690.8697199999997</v>
      </c>
      <c r="J29" s="372">
        <f>SUM(J30:J50)</f>
        <v>45</v>
      </c>
      <c r="K29" s="13"/>
      <c r="L29" s="25"/>
      <c r="M29" s="13"/>
      <c r="N29" s="377"/>
      <c r="O29" s="367"/>
      <c r="P29" s="368"/>
    </row>
    <row r="30" spans="3:18" x14ac:dyDescent="0.2">
      <c r="C30" s="366">
        <f t="shared" si="1"/>
        <v>14</v>
      </c>
      <c r="D30" s="382" t="s">
        <v>59</v>
      </c>
      <c r="E30" s="380">
        <f t="shared" si="2"/>
        <v>2279.6999999999998</v>
      </c>
      <c r="F30" s="25"/>
      <c r="G30" s="13">
        <v>960</v>
      </c>
      <c r="H30" s="25"/>
      <c r="I30" s="13">
        <f>1300+19.7</f>
        <v>1319.7</v>
      </c>
      <c r="J30" s="25"/>
      <c r="K30" s="13"/>
      <c r="L30" s="25"/>
      <c r="M30" s="13"/>
      <c r="N30" s="377"/>
      <c r="O30" s="378"/>
      <c r="P30" s="368"/>
    </row>
    <row r="31" spans="3:18" x14ac:dyDescent="0.2">
      <c r="C31" s="366">
        <f t="shared" si="1"/>
        <v>15</v>
      </c>
      <c r="D31" s="382" t="s">
        <v>60</v>
      </c>
      <c r="E31" s="380">
        <f t="shared" si="2"/>
        <v>50</v>
      </c>
      <c r="F31" s="25"/>
      <c r="G31" s="13">
        <v>50</v>
      </c>
      <c r="H31" s="25"/>
      <c r="I31" s="13"/>
      <c r="J31" s="25"/>
      <c r="K31" s="13"/>
      <c r="L31" s="25"/>
      <c r="M31" s="13"/>
      <c r="N31" s="377"/>
      <c r="O31" s="367"/>
      <c r="P31" s="368"/>
    </row>
    <row r="32" spans="3:18" x14ac:dyDescent="0.2">
      <c r="C32" s="366">
        <f t="shared" si="1"/>
        <v>16</v>
      </c>
      <c r="D32" s="382" t="s">
        <v>61</v>
      </c>
      <c r="E32" s="380">
        <f t="shared" si="2"/>
        <v>84</v>
      </c>
      <c r="F32" s="25"/>
      <c r="G32" s="13">
        <v>84</v>
      </c>
      <c r="H32" s="25"/>
      <c r="I32" s="13"/>
      <c r="J32" s="25"/>
      <c r="K32" s="13"/>
      <c r="L32" s="25"/>
      <c r="M32" s="13"/>
      <c r="N32" s="377"/>
      <c r="O32" s="367"/>
      <c r="P32" s="368"/>
    </row>
    <row r="33" spans="3:20" x14ac:dyDescent="0.2">
      <c r="C33" s="366">
        <f t="shared" si="1"/>
        <v>17</v>
      </c>
      <c r="D33" s="382" t="s">
        <v>62</v>
      </c>
      <c r="E33" s="380">
        <f t="shared" si="2"/>
        <v>10</v>
      </c>
      <c r="F33" s="25"/>
      <c r="G33" s="13">
        <v>10</v>
      </c>
      <c r="H33" s="25"/>
      <c r="I33" s="13"/>
      <c r="J33" s="25"/>
      <c r="K33" s="13"/>
      <c r="L33" s="25"/>
      <c r="M33" s="13"/>
      <c r="N33" s="377"/>
      <c r="O33" s="367"/>
      <c r="P33" s="368"/>
    </row>
    <row r="34" spans="3:20" x14ac:dyDescent="0.2">
      <c r="C34" s="366">
        <f t="shared" si="1"/>
        <v>18</v>
      </c>
      <c r="D34" s="382" t="s">
        <v>556</v>
      </c>
      <c r="E34" s="388">
        <f t="shared" si="2"/>
        <v>109.309</v>
      </c>
      <c r="F34" s="389">
        <f t="shared" si="2"/>
        <v>45</v>
      </c>
      <c r="G34" s="13"/>
      <c r="H34" s="25"/>
      <c r="I34" s="461">
        <v>109.309</v>
      </c>
      <c r="J34" s="462">
        <v>45</v>
      </c>
      <c r="K34" s="13"/>
      <c r="L34" s="25"/>
      <c r="M34" s="13"/>
      <c r="N34" s="377"/>
      <c r="O34" s="367"/>
      <c r="P34" s="368"/>
      <c r="T34" s="171"/>
    </row>
    <row r="35" spans="3:20" x14ac:dyDescent="0.2">
      <c r="C35" s="366">
        <f t="shared" si="1"/>
        <v>19</v>
      </c>
      <c r="D35" s="382" t="s">
        <v>2</v>
      </c>
      <c r="E35" s="380">
        <f t="shared" si="2"/>
        <v>508.1</v>
      </c>
      <c r="F35" s="25"/>
      <c r="G35" s="13"/>
      <c r="H35" s="25"/>
      <c r="I35" s="13">
        <v>508.1</v>
      </c>
      <c r="J35" s="25"/>
      <c r="K35" s="13"/>
      <c r="L35" s="25"/>
      <c r="M35" s="13"/>
      <c r="N35" s="377"/>
      <c r="O35" s="367"/>
      <c r="P35" s="368"/>
    </row>
    <row r="36" spans="3:20" x14ac:dyDescent="0.2">
      <c r="C36" s="366">
        <f t="shared" si="1"/>
        <v>20</v>
      </c>
      <c r="D36" s="382" t="s">
        <v>63</v>
      </c>
      <c r="E36" s="380">
        <f t="shared" si="2"/>
        <v>5</v>
      </c>
      <c r="F36" s="25"/>
      <c r="G36" s="13"/>
      <c r="H36" s="25"/>
      <c r="I36" s="13">
        <v>5</v>
      </c>
      <c r="J36" s="25"/>
      <c r="K36" s="13"/>
      <c r="L36" s="25"/>
      <c r="M36" s="13"/>
      <c r="N36" s="377"/>
      <c r="O36" s="367"/>
      <c r="P36" s="368"/>
    </row>
    <row r="37" spans="3:20" ht="25.5" x14ac:dyDescent="0.2">
      <c r="C37" s="366">
        <f t="shared" si="1"/>
        <v>21</v>
      </c>
      <c r="D37" s="382" t="s">
        <v>546</v>
      </c>
      <c r="E37" s="380">
        <f t="shared" si="2"/>
        <v>5</v>
      </c>
      <c r="F37" s="25"/>
      <c r="G37" s="13">
        <v>5</v>
      </c>
      <c r="H37" s="25"/>
      <c r="I37" s="13"/>
      <c r="J37" s="25"/>
      <c r="K37" s="13"/>
      <c r="L37" s="25"/>
      <c r="M37" s="13"/>
      <c r="N37" s="377"/>
      <c r="O37" s="367"/>
      <c r="P37" s="368"/>
    </row>
    <row r="38" spans="3:20" x14ac:dyDescent="0.2">
      <c r="C38" s="366">
        <f t="shared" si="1"/>
        <v>22</v>
      </c>
      <c r="D38" s="382" t="s">
        <v>64</v>
      </c>
      <c r="E38" s="380">
        <f t="shared" si="2"/>
        <v>544.6</v>
      </c>
      <c r="F38" s="25"/>
      <c r="G38" s="13"/>
      <c r="H38" s="25"/>
      <c r="I38" s="13">
        <f>456.6+88</f>
        <v>544.6</v>
      </c>
      <c r="J38" s="25"/>
      <c r="K38" s="13"/>
      <c r="L38" s="25"/>
      <c r="M38" s="13"/>
      <c r="N38" s="377"/>
      <c r="O38" s="367"/>
      <c r="P38" s="368"/>
    </row>
    <row r="39" spans="3:20" x14ac:dyDescent="0.2">
      <c r="C39" s="366">
        <f t="shared" si="1"/>
        <v>23</v>
      </c>
      <c r="D39" s="382" t="s">
        <v>65</v>
      </c>
      <c r="E39" s="380">
        <f t="shared" si="2"/>
        <v>3715.7</v>
      </c>
      <c r="F39" s="25"/>
      <c r="G39" s="13">
        <v>1890</v>
      </c>
      <c r="H39" s="25"/>
      <c r="I39" s="13">
        <v>1825.7</v>
      </c>
      <c r="J39" s="25"/>
      <c r="K39" s="13"/>
      <c r="L39" s="25"/>
      <c r="M39" s="13"/>
      <c r="N39" s="377"/>
      <c r="O39" s="378"/>
      <c r="P39" s="368"/>
    </row>
    <row r="40" spans="3:20" ht="25.5" x14ac:dyDescent="0.2">
      <c r="C40" s="366">
        <f t="shared" si="1"/>
        <v>24</v>
      </c>
      <c r="D40" s="382" t="s">
        <v>260</v>
      </c>
      <c r="E40" s="380">
        <f t="shared" si="2"/>
        <v>17.8</v>
      </c>
      <c r="F40" s="25"/>
      <c r="G40" s="13">
        <v>17.8</v>
      </c>
      <c r="H40" s="25"/>
      <c r="I40" s="13"/>
      <c r="J40" s="25"/>
      <c r="K40" s="13"/>
      <c r="L40" s="25"/>
      <c r="M40" s="13"/>
      <c r="N40" s="377"/>
      <c r="O40" s="367"/>
      <c r="P40" s="368"/>
    </row>
    <row r="41" spans="3:20" ht="13.5" customHeight="1" x14ac:dyDescent="0.2">
      <c r="C41" s="366">
        <f t="shared" si="1"/>
        <v>25</v>
      </c>
      <c r="D41" s="382" t="s">
        <v>478</v>
      </c>
      <c r="E41" s="13">
        <f t="shared" si="2"/>
        <v>10</v>
      </c>
      <c r="F41" s="25"/>
      <c r="G41" s="13">
        <v>10</v>
      </c>
      <c r="H41" s="25"/>
      <c r="I41" s="13"/>
      <c r="J41" s="25"/>
      <c r="K41" s="13"/>
      <c r="L41" s="25"/>
      <c r="M41" s="13"/>
      <c r="N41" s="377"/>
      <c r="O41" s="367"/>
      <c r="P41" s="368"/>
    </row>
    <row r="42" spans="3:20" x14ac:dyDescent="0.2">
      <c r="C42" s="366">
        <f t="shared" si="1"/>
        <v>26</v>
      </c>
      <c r="D42" s="382" t="s">
        <v>477</v>
      </c>
      <c r="E42" s="13">
        <f t="shared" si="2"/>
        <v>114</v>
      </c>
      <c r="F42" s="25"/>
      <c r="G42" s="13">
        <f>110+4</f>
        <v>114</v>
      </c>
      <c r="H42" s="25"/>
      <c r="I42" s="13"/>
      <c r="J42" s="25"/>
      <c r="K42" s="13"/>
      <c r="L42" s="25"/>
      <c r="M42" s="13"/>
      <c r="N42" s="377"/>
      <c r="O42" s="367"/>
      <c r="P42" s="368"/>
    </row>
    <row r="43" spans="3:20" s="169" customFormat="1" ht="24.75" customHeight="1" x14ac:dyDescent="0.2">
      <c r="C43" s="366">
        <f t="shared" si="1"/>
        <v>27</v>
      </c>
      <c r="D43" s="381" t="s">
        <v>226</v>
      </c>
      <c r="E43" s="390">
        <f t="shared" si="2"/>
        <v>7</v>
      </c>
      <c r="F43" s="391"/>
      <c r="G43" s="390">
        <v>7</v>
      </c>
      <c r="H43" s="391"/>
      <c r="I43" s="390"/>
      <c r="J43" s="391"/>
      <c r="K43" s="390"/>
      <c r="L43" s="391"/>
      <c r="M43" s="390"/>
      <c r="N43" s="392"/>
      <c r="O43" s="393"/>
      <c r="P43" s="394"/>
    </row>
    <row r="44" spans="3:20" s="169" customFormat="1" ht="12.75" customHeight="1" x14ac:dyDescent="0.2">
      <c r="C44" s="366">
        <f t="shared" si="1"/>
        <v>28</v>
      </c>
      <c r="D44" s="382" t="s">
        <v>557</v>
      </c>
      <c r="E44" s="13">
        <f t="shared" si="2"/>
        <v>354</v>
      </c>
      <c r="F44" s="25"/>
      <c r="G44" s="13">
        <v>354</v>
      </c>
      <c r="H44" s="25"/>
      <c r="I44" s="13"/>
      <c r="J44" s="25"/>
      <c r="K44" s="390"/>
      <c r="L44" s="391"/>
      <c r="M44" s="390"/>
      <c r="N44" s="392"/>
      <c r="O44" s="393"/>
      <c r="P44" s="394"/>
    </row>
    <row r="45" spans="3:20" s="169" customFormat="1" ht="12.75" customHeight="1" x14ac:dyDescent="0.2">
      <c r="C45" s="366">
        <f t="shared" si="1"/>
        <v>29</v>
      </c>
      <c r="D45" s="382" t="s">
        <v>498</v>
      </c>
      <c r="E45" s="13">
        <f t="shared" si="2"/>
        <v>178.6</v>
      </c>
      <c r="F45" s="25"/>
      <c r="G45" s="13"/>
      <c r="H45" s="25"/>
      <c r="I45" s="13">
        <v>178.6</v>
      </c>
      <c r="J45" s="25"/>
      <c r="K45" s="390"/>
      <c r="L45" s="391"/>
      <c r="M45" s="390"/>
      <c r="N45" s="392"/>
      <c r="O45" s="393"/>
      <c r="P45" s="394"/>
    </row>
    <row r="46" spans="3:20" s="169" customFormat="1" ht="25.5" customHeight="1" x14ac:dyDescent="0.2">
      <c r="C46" s="366">
        <f t="shared" si="1"/>
        <v>30</v>
      </c>
      <c r="D46" s="382" t="s">
        <v>499</v>
      </c>
      <c r="E46" s="13">
        <f t="shared" si="2"/>
        <v>107.07</v>
      </c>
      <c r="F46" s="25"/>
      <c r="G46" s="13"/>
      <c r="H46" s="25"/>
      <c r="I46" s="13">
        <v>107.07</v>
      </c>
      <c r="J46" s="25"/>
      <c r="K46" s="390"/>
      <c r="L46" s="391"/>
      <c r="M46" s="390"/>
      <c r="N46" s="392"/>
      <c r="O46" s="393"/>
      <c r="P46" s="394"/>
    </row>
    <row r="47" spans="3:20" s="169" customFormat="1" ht="12.75" customHeight="1" x14ac:dyDescent="0.2">
      <c r="C47" s="366">
        <f t="shared" si="1"/>
        <v>31</v>
      </c>
      <c r="D47" s="382" t="s">
        <v>490</v>
      </c>
      <c r="E47" s="13">
        <f t="shared" si="2"/>
        <v>24.678999999999998</v>
      </c>
      <c r="F47" s="25"/>
      <c r="G47" s="13"/>
      <c r="H47" s="25"/>
      <c r="I47" s="13">
        <v>24.678999999999998</v>
      </c>
      <c r="J47" s="25"/>
      <c r="K47" s="390"/>
      <c r="L47" s="391"/>
      <c r="M47" s="390"/>
      <c r="N47" s="392"/>
      <c r="O47" s="393"/>
      <c r="P47" s="394"/>
    </row>
    <row r="48" spans="3:20" s="169" customFormat="1" ht="12.75" customHeight="1" x14ac:dyDescent="0.2">
      <c r="C48" s="366">
        <f t="shared" si="1"/>
        <v>32</v>
      </c>
      <c r="D48" s="382" t="s">
        <v>298</v>
      </c>
      <c r="E48" s="390">
        <f t="shared" si="2"/>
        <v>100</v>
      </c>
      <c r="F48" s="391"/>
      <c r="G48" s="390">
        <v>100</v>
      </c>
      <c r="H48" s="391"/>
      <c r="I48" s="390"/>
      <c r="J48" s="391"/>
      <c r="K48" s="390"/>
      <c r="L48" s="391"/>
      <c r="M48" s="390"/>
      <c r="N48" s="392"/>
      <c r="O48" s="393"/>
      <c r="P48" s="394"/>
    </row>
    <row r="49" spans="3:16" s="169" customFormat="1" ht="12.75" customHeight="1" x14ac:dyDescent="0.2">
      <c r="C49" s="366">
        <f t="shared" si="1"/>
        <v>33</v>
      </c>
      <c r="D49" s="382" t="s">
        <v>481</v>
      </c>
      <c r="E49" s="390">
        <f t="shared" si="2"/>
        <v>12</v>
      </c>
      <c r="F49" s="391"/>
      <c r="G49" s="390">
        <v>12</v>
      </c>
      <c r="H49" s="391"/>
      <c r="I49" s="390"/>
      <c r="J49" s="391"/>
      <c r="K49" s="390"/>
      <c r="L49" s="391"/>
      <c r="M49" s="390"/>
      <c r="N49" s="392"/>
      <c r="O49" s="393"/>
      <c r="P49" s="394"/>
    </row>
    <row r="50" spans="3:16" s="169" customFormat="1" ht="12.75" customHeight="1" x14ac:dyDescent="0.2">
      <c r="C50" s="366">
        <f t="shared" si="1"/>
        <v>34</v>
      </c>
      <c r="D50" s="382" t="s">
        <v>482</v>
      </c>
      <c r="E50" s="390">
        <f t="shared" si="2"/>
        <v>10</v>
      </c>
      <c r="F50" s="391"/>
      <c r="G50" s="390">
        <v>10</v>
      </c>
      <c r="H50" s="391"/>
      <c r="I50" s="390"/>
      <c r="J50" s="391"/>
      <c r="K50" s="390"/>
      <c r="L50" s="391"/>
      <c r="M50" s="390"/>
      <c r="N50" s="392"/>
      <c r="O50" s="393"/>
      <c r="P50" s="394"/>
    </row>
    <row r="51" spans="3:16" s="169" customFormat="1" ht="12.75" customHeight="1" x14ac:dyDescent="0.2">
      <c r="C51" s="366">
        <f t="shared" si="1"/>
        <v>35</v>
      </c>
      <c r="D51" s="382" t="s">
        <v>500</v>
      </c>
      <c r="E51" s="390">
        <f t="shared" si="2"/>
        <v>15</v>
      </c>
      <c r="F51" s="391"/>
      <c r="G51" s="390">
        <v>15</v>
      </c>
      <c r="H51" s="391"/>
      <c r="I51" s="390"/>
      <c r="J51" s="391"/>
      <c r="K51" s="390"/>
      <c r="L51" s="391"/>
      <c r="M51" s="390"/>
      <c r="N51" s="392"/>
      <c r="O51" s="393"/>
      <c r="P51" s="394"/>
    </row>
    <row r="52" spans="3:16" s="169" customFormat="1" ht="24.75" customHeight="1" x14ac:dyDescent="0.2">
      <c r="C52" s="366">
        <f t="shared" si="1"/>
        <v>36</v>
      </c>
      <c r="D52" s="395" t="s">
        <v>571</v>
      </c>
      <c r="E52" s="396">
        <f t="shared" si="2"/>
        <v>40.522100000000002</v>
      </c>
      <c r="F52" s="391"/>
      <c r="G52" s="390"/>
      <c r="H52" s="391"/>
      <c r="I52" s="396">
        <f>34.54758+5.97452</f>
        <v>40.522100000000002</v>
      </c>
      <c r="J52" s="391"/>
      <c r="K52" s="390"/>
      <c r="L52" s="391"/>
      <c r="M52" s="390"/>
      <c r="N52" s="392"/>
      <c r="O52" s="393"/>
      <c r="P52" s="394"/>
    </row>
    <row r="53" spans="3:16" s="169" customFormat="1" ht="13.5" customHeight="1" x14ac:dyDescent="0.2">
      <c r="C53" s="366">
        <f t="shared" si="1"/>
        <v>37</v>
      </c>
      <c r="D53" s="397" t="s">
        <v>591</v>
      </c>
      <c r="E53" s="396">
        <f t="shared" si="2"/>
        <v>27.58962</v>
      </c>
      <c r="F53" s="391"/>
      <c r="G53" s="390"/>
      <c r="H53" s="391"/>
      <c r="I53" s="396">
        <v>27.58962</v>
      </c>
      <c r="J53" s="391"/>
      <c r="K53" s="390"/>
      <c r="L53" s="391"/>
      <c r="M53" s="390"/>
      <c r="N53" s="392"/>
      <c r="O53" s="393"/>
      <c r="P53" s="394"/>
    </row>
    <row r="54" spans="3:16" x14ac:dyDescent="0.2">
      <c r="C54" s="366">
        <f t="shared" si="1"/>
        <v>38</v>
      </c>
      <c r="D54" s="398" t="s">
        <v>229</v>
      </c>
      <c r="E54" s="22">
        <f t="shared" si="2"/>
        <v>1016.1</v>
      </c>
      <c r="F54" s="25"/>
      <c r="G54" s="22">
        <f>SUM(G55:G61)</f>
        <v>963.6</v>
      </c>
      <c r="H54" s="25"/>
      <c r="I54" s="22">
        <f>SUM(I55:I61)</f>
        <v>2.5</v>
      </c>
      <c r="J54" s="25"/>
      <c r="K54" s="13"/>
      <c r="L54" s="25"/>
      <c r="M54" s="22">
        <f>SUM(M55:M60)</f>
        <v>50</v>
      </c>
      <c r="N54" s="377"/>
      <c r="O54" s="367"/>
      <c r="P54" s="368"/>
    </row>
    <row r="55" spans="3:16" x14ac:dyDescent="0.2">
      <c r="C55" s="366">
        <f t="shared" si="1"/>
        <v>39</v>
      </c>
      <c r="D55" s="382" t="s">
        <v>69</v>
      </c>
      <c r="E55" s="13">
        <f t="shared" si="2"/>
        <v>15</v>
      </c>
      <c r="F55" s="25"/>
      <c r="G55" s="13">
        <v>15</v>
      </c>
      <c r="H55" s="25"/>
      <c r="I55" s="13"/>
      <c r="J55" s="25"/>
      <c r="K55" s="13"/>
      <c r="L55" s="25"/>
      <c r="M55" s="13"/>
      <c r="N55" s="377"/>
      <c r="O55" s="367"/>
      <c r="P55" s="368"/>
    </row>
    <row r="56" spans="3:16" ht="24.75" customHeight="1" x14ac:dyDescent="0.2">
      <c r="C56" s="366">
        <f t="shared" si="1"/>
        <v>40</v>
      </c>
      <c r="D56" s="382" t="s">
        <v>483</v>
      </c>
      <c r="E56" s="13">
        <f t="shared" si="2"/>
        <v>513.5</v>
      </c>
      <c r="F56" s="25"/>
      <c r="G56" s="13">
        <v>513.5</v>
      </c>
      <c r="H56" s="25"/>
      <c r="I56" s="13"/>
      <c r="J56" s="25"/>
      <c r="K56" s="13"/>
      <c r="L56" s="25"/>
      <c r="M56" s="13"/>
      <c r="N56" s="377"/>
      <c r="O56" s="367"/>
      <c r="P56" s="368"/>
    </row>
    <row r="57" spans="3:16" x14ac:dyDescent="0.2">
      <c r="C57" s="366">
        <f t="shared" si="1"/>
        <v>41</v>
      </c>
      <c r="D57" s="382" t="s">
        <v>70</v>
      </c>
      <c r="E57" s="13">
        <f t="shared" si="2"/>
        <v>420</v>
      </c>
      <c r="F57" s="25"/>
      <c r="G57" s="13">
        <v>420</v>
      </c>
      <c r="H57" s="25"/>
      <c r="I57" s="13"/>
      <c r="J57" s="25"/>
      <c r="K57" s="13"/>
      <c r="L57" s="25"/>
      <c r="M57" s="13"/>
      <c r="N57" s="377"/>
      <c r="O57" s="367"/>
      <c r="P57" s="368"/>
    </row>
    <row r="58" spans="3:16" x14ac:dyDescent="0.2">
      <c r="C58" s="366">
        <f t="shared" si="1"/>
        <v>42</v>
      </c>
      <c r="D58" s="382" t="s">
        <v>71</v>
      </c>
      <c r="E58" s="13">
        <f t="shared" si="2"/>
        <v>0.1</v>
      </c>
      <c r="F58" s="25"/>
      <c r="G58" s="13">
        <v>0.1</v>
      </c>
      <c r="H58" s="25"/>
      <c r="I58" s="13"/>
      <c r="J58" s="25"/>
      <c r="K58" s="13"/>
      <c r="L58" s="25"/>
      <c r="M58" s="13"/>
      <c r="N58" s="377"/>
      <c r="O58" s="367"/>
      <c r="P58" s="368"/>
    </row>
    <row r="59" spans="3:16" x14ac:dyDescent="0.2">
      <c r="C59" s="366">
        <f t="shared" si="1"/>
        <v>43</v>
      </c>
      <c r="D59" s="382" t="s">
        <v>227</v>
      </c>
      <c r="E59" s="13">
        <f t="shared" si="2"/>
        <v>15</v>
      </c>
      <c r="F59" s="25"/>
      <c r="G59" s="13">
        <v>15</v>
      </c>
      <c r="H59" s="25"/>
      <c r="I59" s="13"/>
      <c r="J59" s="25"/>
      <c r="K59" s="13"/>
      <c r="L59" s="25"/>
      <c r="M59" s="13"/>
      <c r="N59" s="377"/>
      <c r="O59" s="367"/>
      <c r="P59" s="368"/>
    </row>
    <row r="60" spans="3:16" x14ac:dyDescent="0.2">
      <c r="C60" s="366">
        <f t="shared" si="1"/>
        <v>44</v>
      </c>
      <c r="D60" s="382" t="s">
        <v>72</v>
      </c>
      <c r="E60" s="13">
        <f t="shared" si="2"/>
        <v>50</v>
      </c>
      <c r="F60" s="25"/>
      <c r="G60" s="13"/>
      <c r="H60" s="25"/>
      <c r="I60" s="13"/>
      <c r="J60" s="25"/>
      <c r="K60" s="13"/>
      <c r="L60" s="25"/>
      <c r="M60" s="13">
        <v>50</v>
      </c>
      <c r="N60" s="377"/>
      <c r="O60" s="367"/>
      <c r="P60" s="368"/>
    </row>
    <row r="61" spans="3:16" x14ac:dyDescent="0.2">
      <c r="C61" s="366">
        <f t="shared" si="1"/>
        <v>45</v>
      </c>
      <c r="D61" s="382" t="s">
        <v>301</v>
      </c>
      <c r="E61" s="13">
        <f t="shared" si="2"/>
        <v>2.5</v>
      </c>
      <c r="F61" s="399"/>
      <c r="G61" s="13"/>
      <c r="H61" s="25"/>
      <c r="I61" s="13">
        <f>1.1+1.4</f>
        <v>2.5</v>
      </c>
      <c r="J61" s="25"/>
      <c r="K61" s="13"/>
      <c r="L61" s="25"/>
      <c r="M61" s="13"/>
      <c r="N61" s="377"/>
      <c r="O61" s="367"/>
      <c r="P61" s="368"/>
    </row>
    <row r="62" spans="3:16" x14ac:dyDescent="0.2">
      <c r="C62" s="366">
        <f t="shared" si="1"/>
        <v>46</v>
      </c>
      <c r="D62" s="18" t="s">
        <v>230</v>
      </c>
      <c r="E62" s="370">
        <f>G62+I62+K62+M62</f>
        <v>4610.8287700000001</v>
      </c>
      <c r="F62" s="25"/>
      <c r="G62" s="22">
        <f>SUM(G63:G71)</f>
        <v>1059.7348999999999</v>
      </c>
      <c r="H62" s="25"/>
      <c r="I62" s="370">
        <f>SUM(I63:I71)</f>
        <v>3551.0938700000002</v>
      </c>
      <c r="J62" s="25"/>
      <c r="K62" s="13"/>
      <c r="L62" s="25"/>
      <c r="M62" s="13"/>
      <c r="N62" s="377"/>
      <c r="O62" s="367"/>
      <c r="P62" s="368"/>
    </row>
    <row r="63" spans="3:16" x14ac:dyDescent="0.2">
      <c r="C63" s="366">
        <f t="shared" si="1"/>
        <v>47</v>
      </c>
      <c r="D63" s="382" t="s">
        <v>73</v>
      </c>
      <c r="E63" s="13">
        <f>G63+I63+K63+M63</f>
        <v>133</v>
      </c>
      <c r="F63" s="399"/>
      <c r="G63" s="13">
        <v>133</v>
      </c>
      <c r="H63" s="25"/>
      <c r="I63" s="13"/>
      <c r="J63" s="25"/>
      <c r="K63" s="13"/>
      <c r="L63" s="25"/>
      <c r="M63" s="13"/>
      <c r="N63" s="377"/>
      <c r="O63" s="367"/>
      <c r="P63" s="368"/>
    </row>
    <row r="64" spans="3:16" ht="27" customHeight="1" x14ac:dyDescent="0.2">
      <c r="C64" s="366">
        <f t="shared" si="1"/>
        <v>48</v>
      </c>
      <c r="D64" s="463" t="s">
        <v>476</v>
      </c>
      <c r="E64" s="376">
        <f>G64+I64+K64+M64</f>
        <v>358.02877000000001</v>
      </c>
      <c r="F64" s="399"/>
      <c r="G64" s="400">
        <f>98.7349+200</f>
        <v>298.73489999999998</v>
      </c>
      <c r="H64" s="25"/>
      <c r="I64" s="376">
        <v>59.293869999999998</v>
      </c>
      <c r="J64" s="25"/>
      <c r="K64" s="13"/>
      <c r="L64" s="25"/>
      <c r="M64" s="13"/>
      <c r="N64" s="377"/>
      <c r="O64" s="367"/>
      <c r="P64" s="368"/>
    </row>
    <row r="65" spans="3:16" ht="25.5" x14ac:dyDescent="0.2">
      <c r="C65" s="366">
        <f t="shared" si="1"/>
        <v>49</v>
      </c>
      <c r="D65" s="382" t="s">
        <v>484</v>
      </c>
      <c r="E65" s="13">
        <f>G65+I65+K65+M65</f>
        <v>10</v>
      </c>
      <c r="F65" s="399"/>
      <c r="G65" s="13">
        <v>10</v>
      </c>
      <c r="H65" s="25"/>
      <c r="I65" s="13"/>
      <c r="J65" s="25"/>
      <c r="K65" s="13"/>
      <c r="L65" s="25"/>
      <c r="M65" s="13"/>
      <c r="N65" s="377"/>
      <c r="O65" s="367"/>
      <c r="P65" s="368"/>
    </row>
    <row r="66" spans="3:16" ht="25.5" x14ac:dyDescent="0.2">
      <c r="C66" s="366">
        <f t="shared" si="1"/>
        <v>50</v>
      </c>
      <c r="D66" s="382" t="s">
        <v>547</v>
      </c>
      <c r="E66" s="13">
        <f>G66+I66+K66+M66</f>
        <v>998</v>
      </c>
      <c r="F66" s="399"/>
      <c r="G66" s="13"/>
      <c r="H66" s="25"/>
      <c r="I66" s="13">
        <v>998</v>
      </c>
      <c r="J66" s="25"/>
      <c r="K66" s="13"/>
      <c r="L66" s="25"/>
      <c r="M66" s="13"/>
      <c r="N66" s="377"/>
      <c r="O66" s="367"/>
      <c r="P66" s="368"/>
    </row>
    <row r="67" spans="3:16" x14ac:dyDescent="0.2">
      <c r="C67" s="366">
        <f t="shared" si="1"/>
        <v>51</v>
      </c>
      <c r="D67" s="382" t="s">
        <v>258</v>
      </c>
      <c r="E67" s="13">
        <f t="shared" ref="E67:E93" si="3">G67+I67+K67+M67</f>
        <v>55</v>
      </c>
      <c r="F67" s="399"/>
      <c r="G67" s="13">
        <v>55</v>
      </c>
      <c r="H67" s="25"/>
      <c r="I67" s="13"/>
      <c r="J67" s="25"/>
      <c r="K67" s="13"/>
      <c r="L67" s="25"/>
      <c r="M67" s="13"/>
      <c r="N67" s="377"/>
      <c r="O67" s="367"/>
      <c r="P67" s="368"/>
    </row>
    <row r="68" spans="3:16" x14ac:dyDescent="0.2">
      <c r="C68" s="366">
        <f t="shared" si="1"/>
        <v>52</v>
      </c>
      <c r="D68" s="382" t="s">
        <v>261</v>
      </c>
      <c r="E68" s="13">
        <f t="shared" si="3"/>
        <v>3</v>
      </c>
      <c r="F68" s="25"/>
      <c r="G68" s="13">
        <v>3</v>
      </c>
      <c r="H68" s="25"/>
      <c r="I68" s="13"/>
      <c r="J68" s="25"/>
      <c r="K68" s="13"/>
      <c r="L68" s="25"/>
      <c r="M68" s="13"/>
      <c r="N68" s="377"/>
      <c r="O68" s="367"/>
      <c r="P68" s="368"/>
    </row>
    <row r="69" spans="3:16" x14ac:dyDescent="0.2">
      <c r="C69" s="366">
        <f t="shared" si="1"/>
        <v>53</v>
      </c>
      <c r="D69" s="382" t="s">
        <v>74</v>
      </c>
      <c r="E69" s="13">
        <f t="shared" si="3"/>
        <v>400</v>
      </c>
      <c r="F69" s="25"/>
      <c r="G69" s="13">
        <v>400</v>
      </c>
      <c r="H69" s="25"/>
      <c r="I69" s="13"/>
      <c r="J69" s="25"/>
      <c r="K69" s="13"/>
      <c r="L69" s="25"/>
      <c r="M69" s="13"/>
      <c r="N69" s="377"/>
      <c r="O69" s="367"/>
      <c r="P69" s="368"/>
    </row>
    <row r="70" spans="3:16" x14ac:dyDescent="0.2">
      <c r="C70" s="366">
        <f t="shared" si="1"/>
        <v>54</v>
      </c>
      <c r="D70" s="382" t="s">
        <v>217</v>
      </c>
      <c r="E70" s="13">
        <f t="shared" si="3"/>
        <v>2573.8000000000002</v>
      </c>
      <c r="F70" s="25"/>
      <c r="G70" s="13">
        <v>80</v>
      </c>
      <c r="H70" s="25"/>
      <c r="I70" s="13">
        <v>2493.8000000000002</v>
      </c>
      <c r="J70" s="25"/>
      <c r="K70" s="13"/>
      <c r="L70" s="25"/>
      <c r="M70" s="13"/>
      <c r="N70" s="377"/>
      <c r="O70" s="367"/>
      <c r="P70" s="368"/>
    </row>
    <row r="71" spans="3:16" x14ac:dyDescent="0.2">
      <c r="C71" s="366">
        <f t="shared" si="1"/>
        <v>55</v>
      </c>
      <c r="D71" s="15" t="s">
        <v>224</v>
      </c>
      <c r="E71" s="13">
        <f t="shared" si="3"/>
        <v>80</v>
      </c>
      <c r="F71" s="25"/>
      <c r="G71" s="13">
        <v>80</v>
      </c>
      <c r="H71" s="25"/>
      <c r="I71" s="13"/>
      <c r="J71" s="25"/>
      <c r="K71" s="13"/>
      <c r="L71" s="25"/>
      <c r="M71" s="13"/>
      <c r="N71" s="377"/>
      <c r="O71" s="367"/>
      <c r="P71" s="368"/>
    </row>
    <row r="72" spans="3:16" ht="12.75" customHeight="1" x14ac:dyDescent="0.2">
      <c r="C72" s="366">
        <f t="shared" si="1"/>
        <v>56</v>
      </c>
      <c r="D72" s="27" t="s">
        <v>531</v>
      </c>
      <c r="E72" s="22">
        <f t="shared" si="3"/>
        <v>90</v>
      </c>
      <c r="F72" s="25"/>
      <c r="G72" s="22">
        <f>SUM(G73:G75)</f>
        <v>90</v>
      </c>
      <c r="H72" s="25"/>
      <c r="I72" s="13"/>
      <c r="J72" s="25"/>
      <c r="K72" s="13"/>
      <c r="L72" s="25"/>
      <c r="M72" s="13"/>
      <c r="N72" s="377"/>
      <c r="O72" s="367"/>
      <c r="P72" s="368"/>
    </row>
    <row r="73" spans="3:16" ht="12.75" customHeight="1" x14ac:dyDescent="0.2">
      <c r="C73" s="366">
        <f t="shared" si="1"/>
        <v>57</v>
      </c>
      <c r="D73" s="382" t="s">
        <v>75</v>
      </c>
      <c r="E73" s="13">
        <f t="shared" si="3"/>
        <v>50</v>
      </c>
      <c r="F73" s="25"/>
      <c r="G73" s="13">
        <v>50</v>
      </c>
      <c r="H73" s="25"/>
      <c r="I73" s="13"/>
      <c r="J73" s="25"/>
      <c r="K73" s="13"/>
      <c r="L73" s="25"/>
      <c r="M73" s="13"/>
      <c r="N73" s="377"/>
      <c r="O73" s="367"/>
      <c r="P73" s="368"/>
    </row>
    <row r="74" spans="3:16" ht="25.5" x14ac:dyDescent="0.2">
      <c r="C74" s="366">
        <f t="shared" si="1"/>
        <v>58</v>
      </c>
      <c r="D74" s="382" t="s">
        <v>76</v>
      </c>
      <c r="E74" s="13">
        <f t="shared" si="3"/>
        <v>25</v>
      </c>
      <c r="F74" s="25"/>
      <c r="G74" s="13">
        <v>25</v>
      </c>
      <c r="H74" s="25"/>
      <c r="I74" s="13"/>
      <c r="J74" s="25"/>
      <c r="K74" s="13"/>
      <c r="L74" s="25"/>
      <c r="M74" s="13"/>
      <c r="N74" s="377"/>
      <c r="O74" s="367"/>
      <c r="P74" s="368"/>
    </row>
    <row r="75" spans="3:16" ht="25.5" x14ac:dyDescent="0.2">
      <c r="C75" s="366">
        <f t="shared" si="1"/>
        <v>59</v>
      </c>
      <c r="D75" s="382" t="s">
        <v>533</v>
      </c>
      <c r="E75" s="13">
        <f t="shared" si="3"/>
        <v>15</v>
      </c>
      <c r="F75" s="25"/>
      <c r="G75" s="13">
        <v>15</v>
      </c>
      <c r="H75" s="25"/>
      <c r="I75" s="13"/>
      <c r="J75" s="25"/>
      <c r="K75" s="13"/>
      <c r="L75" s="25"/>
      <c r="M75" s="13"/>
      <c r="N75" s="377"/>
      <c r="O75" s="367"/>
      <c r="P75" s="368"/>
    </row>
    <row r="76" spans="3:16" ht="12.75" customHeight="1" x14ac:dyDescent="0.2">
      <c r="C76" s="366">
        <f>C75+1</f>
        <v>60</v>
      </c>
      <c r="D76" s="27" t="s">
        <v>78</v>
      </c>
      <c r="E76" s="370">
        <f t="shared" si="3"/>
        <v>1195.3917200000001</v>
      </c>
      <c r="F76" s="25"/>
      <c r="G76" s="401">
        <f>SUM(G77:G85)</f>
        <v>1180.5</v>
      </c>
      <c r="H76" s="372"/>
      <c r="I76" s="370">
        <f>I84</f>
        <v>14.891719999999999</v>
      </c>
      <c r="J76" s="25"/>
      <c r="K76" s="13"/>
      <c r="L76" s="25"/>
      <c r="M76" s="13"/>
      <c r="N76" s="377"/>
      <c r="O76" s="367"/>
      <c r="P76" s="368"/>
    </row>
    <row r="77" spans="3:16" ht="25.5" x14ac:dyDescent="0.2">
      <c r="C77" s="366">
        <f t="shared" si="1"/>
        <v>61</v>
      </c>
      <c r="D77" s="382" t="s">
        <v>529</v>
      </c>
      <c r="E77" s="13">
        <f t="shared" si="3"/>
        <v>1.5</v>
      </c>
      <c r="F77" s="25"/>
      <c r="G77" s="13">
        <v>1.5</v>
      </c>
      <c r="H77" s="25"/>
      <c r="I77" s="13"/>
      <c r="J77" s="25"/>
      <c r="K77" s="13"/>
      <c r="L77" s="25"/>
      <c r="M77" s="13"/>
      <c r="N77" s="377"/>
      <c r="O77" s="367"/>
      <c r="P77" s="368"/>
    </row>
    <row r="78" spans="3:16" x14ac:dyDescent="0.2">
      <c r="C78" s="366">
        <f t="shared" si="1"/>
        <v>62</v>
      </c>
      <c r="D78" s="382" t="s">
        <v>527</v>
      </c>
      <c r="E78" s="13">
        <f t="shared" si="3"/>
        <v>1.5</v>
      </c>
      <c r="F78" s="25"/>
      <c r="G78" s="13">
        <v>1.5</v>
      </c>
      <c r="H78" s="25"/>
      <c r="I78" s="13"/>
      <c r="J78" s="25"/>
      <c r="K78" s="13"/>
      <c r="L78" s="25"/>
      <c r="M78" s="13"/>
      <c r="N78" s="377"/>
      <c r="O78" s="367"/>
      <c r="P78" s="368"/>
    </row>
    <row r="79" spans="3:16" ht="25.5" x14ac:dyDescent="0.2">
      <c r="C79" s="366">
        <f t="shared" si="1"/>
        <v>63</v>
      </c>
      <c r="D79" s="382" t="s">
        <v>234</v>
      </c>
      <c r="E79" s="13">
        <f t="shared" si="3"/>
        <v>74.5</v>
      </c>
      <c r="F79" s="25"/>
      <c r="G79" s="13">
        <v>74.5</v>
      </c>
      <c r="H79" s="25"/>
      <c r="I79" s="13"/>
      <c r="J79" s="25"/>
      <c r="K79" s="13"/>
      <c r="L79" s="25"/>
      <c r="M79" s="13"/>
      <c r="N79" s="377"/>
      <c r="O79" s="367"/>
      <c r="P79" s="368"/>
    </row>
    <row r="80" spans="3:16" ht="27" customHeight="1" x14ac:dyDescent="0.2">
      <c r="C80" s="366">
        <f t="shared" si="1"/>
        <v>64</v>
      </c>
      <c r="D80" s="381" t="s">
        <v>262</v>
      </c>
      <c r="E80" s="13">
        <f t="shared" si="3"/>
        <v>95</v>
      </c>
      <c r="F80" s="25"/>
      <c r="G80" s="13">
        <v>95</v>
      </c>
      <c r="H80" s="25"/>
      <c r="I80" s="13"/>
      <c r="J80" s="25"/>
      <c r="K80" s="13"/>
      <c r="L80" s="25"/>
      <c r="M80" s="13"/>
      <c r="N80" s="377"/>
      <c r="O80" s="367"/>
      <c r="P80" s="368"/>
    </row>
    <row r="81" spans="3:16" ht="12.75" customHeight="1" x14ac:dyDescent="0.2">
      <c r="C81" s="366">
        <f t="shared" si="1"/>
        <v>65</v>
      </c>
      <c r="D81" s="381" t="s">
        <v>528</v>
      </c>
      <c r="E81" s="13">
        <f t="shared" si="3"/>
        <v>30</v>
      </c>
      <c r="F81" s="25"/>
      <c r="G81" s="13">
        <v>30</v>
      </c>
      <c r="H81" s="25"/>
      <c r="I81" s="13"/>
      <c r="J81" s="25"/>
      <c r="K81" s="13"/>
      <c r="L81" s="25"/>
      <c r="M81" s="13"/>
      <c r="N81" s="377"/>
      <c r="O81" s="367"/>
      <c r="P81" s="368"/>
    </row>
    <row r="82" spans="3:16" x14ac:dyDescent="0.2">
      <c r="C82" s="366">
        <f t="shared" si="1"/>
        <v>66</v>
      </c>
      <c r="D82" s="382" t="s">
        <v>218</v>
      </c>
      <c r="E82" s="13">
        <f t="shared" si="3"/>
        <v>10</v>
      </c>
      <c r="F82" s="25"/>
      <c r="G82" s="13">
        <v>10</v>
      </c>
      <c r="H82" s="25"/>
      <c r="I82" s="13"/>
      <c r="J82" s="25"/>
      <c r="K82" s="13"/>
      <c r="L82" s="25"/>
      <c r="M82" s="13"/>
      <c r="N82" s="377"/>
      <c r="O82" s="367"/>
      <c r="P82" s="368"/>
    </row>
    <row r="83" spans="3:16" x14ac:dyDescent="0.2">
      <c r="C83" s="366">
        <f t="shared" si="1"/>
        <v>67</v>
      </c>
      <c r="D83" s="382" t="s">
        <v>219</v>
      </c>
      <c r="E83" s="13">
        <f t="shared" si="3"/>
        <v>700</v>
      </c>
      <c r="F83" s="25"/>
      <c r="G83" s="13">
        <f>712.5-12.5</f>
        <v>700</v>
      </c>
      <c r="H83" s="25"/>
      <c r="I83" s="13"/>
      <c r="J83" s="25"/>
      <c r="K83" s="13"/>
      <c r="L83" s="25"/>
      <c r="M83" s="13"/>
      <c r="N83" s="377"/>
      <c r="O83" s="367"/>
      <c r="P83" s="368"/>
    </row>
    <row r="84" spans="3:16" x14ac:dyDescent="0.2">
      <c r="C84" s="366">
        <f t="shared" ref="C84:C149" si="4">C83+1</f>
        <v>68</v>
      </c>
      <c r="D84" s="382" t="s">
        <v>80</v>
      </c>
      <c r="E84" s="376">
        <f t="shared" si="3"/>
        <v>260.89172000000002</v>
      </c>
      <c r="F84" s="25"/>
      <c r="G84" s="13">
        <v>246</v>
      </c>
      <c r="H84" s="25"/>
      <c r="I84" s="376">
        <v>14.891719999999999</v>
      </c>
      <c r="J84" s="25"/>
      <c r="K84" s="13"/>
      <c r="L84" s="25"/>
      <c r="M84" s="13"/>
      <c r="N84" s="377"/>
      <c r="O84" s="367"/>
      <c r="P84" s="368"/>
    </row>
    <row r="85" spans="3:16" x14ac:dyDescent="0.2">
      <c r="C85" s="366">
        <f t="shared" si="4"/>
        <v>69</v>
      </c>
      <c r="D85" s="402" t="s">
        <v>549</v>
      </c>
      <c r="E85" s="13">
        <f t="shared" si="3"/>
        <v>22</v>
      </c>
      <c r="F85" s="379"/>
      <c r="G85" s="378">
        <f>G86+G87+G88</f>
        <v>22</v>
      </c>
      <c r="H85" s="379"/>
      <c r="I85" s="378"/>
      <c r="J85" s="379"/>
      <c r="K85" s="378"/>
      <c r="L85" s="379"/>
      <c r="M85" s="378"/>
      <c r="N85" s="377"/>
      <c r="O85" s="367"/>
      <c r="P85" s="368"/>
    </row>
    <row r="86" spans="3:16" ht="25.5" x14ac:dyDescent="0.2">
      <c r="C86" s="366">
        <f t="shared" si="4"/>
        <v>70</v>
      </c>
      <c r="D86" s="403" t="s">
        <v>300</v>
      </c>
      <c r="E86" s="13">
        <f t="shared" si="3"/>
        <v>5</v>
      </c>
      <c r="F86" s="379"/>
      <c r="G86" s="378">
        <v>5</v>
      </c>
      <c r="H86" s="379"/>
      <c r="I86" s="378"/>
      <c r="J86" s="379"/>
      <c r="K86" s="378"/>
      <c r="L86" s="379"/>
      <c r="M86" s="378"/>
      <c r="N86" s="377"/>
      <c r="O86" s="367"/>
      <c r="P86" s="368"/>
    </row>
    <row r="87" spans="3:16" ht="25.5" x14ac:dyDescent="0.2">
      <c r="C87" s="366">
        <f t="shared" si="4"/>
        <v>71</v>
      </c>
      <c r="D87" s="403" t="s">
        <v>530</v>
      </c>
      <c r="E87" s="13">
        <f t="shared" si="3"/>
        <v>15.5</v>
      </c>
      <c r="F87" s="379"/>
      <c r="G87" s="378">
        <v>15.5</v>
      </c>
      <c r="H87" s="379"/>
      <c r="I87" s="378"/>
      <c r="J87" s="379"/>
      <c r="K87" s="378"/>
      <c r="L87" s="379"/>
      <c r="M87" s="378"/>
      <c r="N87" s="377"/>
      <c r="O87" s="367"/>
      <c r="P87" s="368"/>
    </row>
    <row r="88" spans="3:16" ht="25.5" x14ac:dyDescent="0.2">
      <c r="C88" s="366">
        <f t="shared" si="4"/>
        <v>72</v>
      </c>
      <c r="D88" s="403" t="s">
        <v>622</v>
      </c>
      <c r="E88" s="13">
        <f t="shared" si="3"/>
        <v>1.5</v>
      </c>
      <c r="F88" s="379"/>
      <c r="G88" s="378">
        <v>1.5</v>
      </c>
      <c r="H88" s="379"/>
      <c r="I88" s="378"/>
      <c r="J88" s="379"/>
      <c r="K88" s="378"/>
      <c r="L88" s="379"/>
      <c r="M88" s="378"/>
      <c r="N88" s="377"/>
      <c r="O88" s="367"/>
      <c r="P88" s="368"/>
    </row>
    <row r="89" spans="3:16" x14ac:dyDescent="0.2">
      <c r="C89" s="366">
        <f t="shared" si="4"/>
        <v>73</v>
      </c>
      <c r="D89" s="27" t="s">
        <v>250</v>
      </c>
      <c r="E89" s="370">
        <f t="shared" si="3"/>
        <v>69.070970000000003</v>
      </c>
      <c r="F89" s="404"/>
      <c r="G89" s="370">
        <f>SUM(G90:G91)</f>
        <v>69.070970000000003</v>
      </c>
      <c r="H89" s="25"/>
      <c r="I89" s="13"/>
      <c r="J89" s="25"/>
      <c r="K89" s="13"/>
      <c r="L89" s="25"/>
      <c r="M89" s="13"/>
      <c r="N89" s="377"/>
      <c r="O89" s="367"/>
      <c r="P89" s="368"/>
    </row>
    <row r="90" spans="3:16" x14ac:dyDescent="0.2">
      <c r="C90" s="366">
        <f t="shared" si="4"/>
        <v>74</v>
      </c>
      <c r="D90" s="382" t="s">
        <v>263</v>
      </c>
      <c r="E90" s="13">
        <f t="shared" si="3"/>
        <v>65.3</v>
      </c>
      <c r="F90" s="25"/>
      <c r="G90" s="13">
        <v>65.3</v>
      </c>
      <c r="H90" s="25"/>
      <c r="I90" s="13"/>
      <c r="J90" s="25"/>
      <c r="K90" s="13"/>
      <c r="L90" s="25"/>
      <c r="M90" s="13"/>
      <c r="N90" s="377"/>
      <c r="O90" s="367"/>
      <c r="P90" s="368"/>
    </row>
    <row r="91" spans="3:16" ht="25.5" x14ac:dyDescent="0.2">
      <c r="C91" s="366">
        <f t="shared" si="4"/>
        <v>75</v>
      </c>
      <c r="D91" s="382" t="s">
        <v>606</v>
      </c>
      <c r="E91" s="376">
        <f t="shared" si="3"/>
        <v>3.7709700000000002</v>
      </c>
      <c r="F91" s="404"/>
      <c r="G91" s="376">
        <v>3.7709700000000002</v>
      </c>
      <c r="H91" s="25"/>
      <c r="I91" s="13"/>
      <c r="J91" s="25"/>
      <c r="K91" s="13"/>
      <c r="L91" s="25"/>
      <c r="M91" s="13"/>
      <c r="N91" s="377"/>
      <c r="O91" s="367"/>
      <c r="P91" s="368"/>
    </row>
    <row r="92" spans="3:16" x14ac:dyDescent="0.2">
      <c r="C92" s="366">
        <f t="shared" si="4"/>
        <v>76</v>
      </c>
      <c r="D92" s="18" t="s">
        <v>81</v>
      </c>
      <c r="E92" s="22">
        <f t="shared" si="3"/>
        <v>485.86900000000003</v>
      </c>
      <c r="F92" s="25"/>
      <c r="G92" s="22">
        <f>G93+G94+G95+G97</f>
        <v>179.876</v>
      </c>
      <c r="H92" s="25"/>
      <c r="I92" s="22">
        <f>I93+I96</f>
        <v>305.99299999999999</v>
      </c>
      <c r="J92" s="25"/>
      <c r="K92" s="13"/>
      <c r="L92" s="25"/>
      <c r="M92" s="13"/>
      <c r="N92" s="377"/>
      <c r="O92" s="367"/>
      <c r="P92" s="368"/>
    </row>
    <row r="93" spans="3:16" x14ac:dyDescent="0.2">
      <c r="C93" s="366">
        <f t="shared" si="4"/>
        <v>77</v>
      </c>
      <c r="D93" s="382" t="s">
        <v>221</v>
      </c>
      <c r="E93" s="13">
        <f t="shared" si="3"/>
        <v>287</v>
      </c>
      <c r="F93" s="25"/>
      <c r="G93" s="13"/>
      <c r="H93" s="25"/>
      <c r="I93" s="13">
        <v>287</v>
      </c>
      <c r="J93" s="25"/>
      <c r="K93" s="13"/>
      <c r="L93" s="25"/>
      <c r="M93" s="13"/>
      <c r="N93" s="377"/>
      <c r="O93" s="367"/>
      <c r="P93" s="368"/>
    </row>
    <row r="94" spans="3:16" x14ac:dyDescent="0.2">
      <c r="C94" s="366">
        <f t="shared" si="4"/>
        <v>78</v>
      </c>
      <c r="D94" s="382" t="s">
        <v>220</v>
      </c>
      <c r="E94" s="13">
        <f t="shared" ref="E94:F133" si="5">G94+I94+K94+M94</f>
        <v>120</v>
      </c>
      <c r="F94" s="25"/>
      <c r="G94" s="13">
        <v>120</v>
      </c>
      <c r="H94" s="25"/>
      <c r="I94" s="13"/>
      <c r="J94" s="25"/>
      <c r="K94" s="13"/>
      <c r="L94" s="25"/>
      <c r="M94" s="13"/>
      <c r="N94" s="377"/>
      <c r="O94" s="367"/>
      <c r="P94" s="368"/>
    </row>
    <row r="95" spans="3:16" ht="25.5" x14ac:dyDescent="0.2">
      <c r="C95" s="366">
        <f t="shared" si="4"/>
        <v>79</v>
      </c>
      <c r="D95" s="382" t="s">
        <v>485</v>
      </c>
      <c r="E95" s="13">
        <f t="shared" si="5"/>
        <v>50</v>
      </c>
      <c r="F95" s="25"/>
      <c r="G95" s="13">
        <v>50</v>
      </c>
      <c r="H95" s="25"/>
      <c r="I95" s="149"/>
      <c r="J95" s="25"/>
      <c r="K95" s="13"/>
      <c r="L95" s="25"/>
      <c r="M95" s="13"/>
      <c r="N95" s="377"/>
      <c r="O95" s="367"/>
      <c r="P95" s="368"/>
    </row>
    <row r="96" spans="3:16" x14ac:dyDescent="0.2">
      <c r="C96" s="366">
        <f t="shared" si="4"/>
        <v>80</v>
      </c>
      <c r="D96" s="402" t="s">
        <v>569</v>
      </c>
      <c r="E96" s="13">
        <f t="shared" si="5"/>
        <v>18.992999999999999</v>
      </c>
      <c r="F96" s="25"/>
      <c r="G96" s="13"/>
      <c r="H96" s="25"/>
      <c r="I96" s="149">
        <v>18.992999999999999</v>
      </c>
      <c r="J96" s="25"/>
      <c r="K96" s="13"/>
      <c r="L96" s="25"/>
      <c r="M96" s="13"/>
      <c r="N96" s="377"/>
      <c r="O96" s="367"/>
      <c r="P96" s="368"/>
    </row>
    <row r="97" spans="3:16" x14ac:dyDescent="0.2">
      <c r="C97" s="366">
        <f t="shared" si="4"/>
        <v>81</v>
      </c>
      <c r="D97" s="402" t="s">
        <v>674</v>
      </c>
      <c r="E97" s="405">
        <f t="shared" si="5"/>
        <v>9.8759999999999994</v>
      </c>
      <c r="F97" s="406"/>
      <c r="G97" s="407">
        <v>9.8759999999999994</v>
      </c>
      <c r="H97" s="408"/>
      <c r="I97" s="409"/>
      <c r="J97" s="408"/>
      <c r="K97" s="409"/>
      <c r="L97" s="408"/>
      <c r="M97" s="405"/>
      <c r="N97" s="410"/>
      <c r="O97" s="411"/>
      <c r="P97" s="412"/>
    </row>
    <row r="98" spans="3:16" x14ac:dyDescent="0.2">
      <c r="C98" s="366">
        <f t="shared" si="4"/>
        <v>82</v>
      </c>
      <c r="D98" s="82" t="s">
        <v>264</v>
      </c>
      <c r="E98" s="22">
        <f t="shared" si="5"/>
        <v>403.19409999999999</v>
      </c>
      <c r="F98" s="23">
        <f>H98+J98+L98+N98</f>
        <v>38.918999999999997</v>
      </c>
      <c r="G98" s="22">
        <f>SUM(G99:G118)</f>
        <v>263.19409999999999</v>
      </c>
      <c r="H98" s="25"/>
      <c r="I98" s="28">
        <f>SUM(I99:I117)</f>
        <v>131</v>
      </c>
      <c r="J98" s="372">
        <f t="shared" ref="J98:L98" si="6">SUM(J99:J117)</f>
        <v>30.047999999999998</v>
      </c>
      <c r="K98" s="28">
        <f t="shared" si="6"/>
        <v>9</v>
      </c>
      <c r="L98" s="372">
        <f t="shared" si="6"/>
        <v>8.8710000000000004</v>
      </c>
      <c r="M98" s="13"/>
      <c r="N98" s="377"/>
      <c r="O98" s="367"/>
      <c r="P98" s="368"/>
    </row>
    <row r="99" spans="3:16" x14ac:dyDescent="0.2">
      <c r="C99" s="366">
        <f t="shared" si="4"/>
        <v>83</v>
      </c>
      <c r="D99" s="15" t="s">
        <v>82</v>
      </c>
      <c r="E99" s="13">
        <f t="shared" si="5"/>
        <v>35</v>
      </c>
      <c r="F99" s="25"/>
      <c r="G99" s="13">
        <v>35</v>
      </c>
      <c r="H99" s="25"/>
      <c r="I99" s="13"/>
      <c r="J99" s="25"/>
      <c r="K99" s="13"/>
      <c r="L99" s="25"/>
      <c r="M99" s="13"/>
      <c r="N99" s="377"/>
      <c r="O99" s="367"/>
      <c r="P99" s="368"/>
    </row>
    <row r="100" spans="3:16" x14ac:dyDescent="0.2">
      <c r="C100" s="366">
        <f t="shared" si="4"/>
        <v>84</v>
      </c>
      <c r="D100" s="15" t="s">
        <v>83</v>
      </c>
      <c r="E100" s="13">
        <f t="shared" si="5"/>
        <v>4</v>
      </c>
      <c r="F100" s="25"/>
      <c r="G100" s="13">
        <v>4</v>
      </c>
      <c r="H100" s="25"/>
      <c r="I100" s="13"/>
      <c r="J100" s="25"/>
      <c r="K100" s="13"/>
      <c r="L100" s="25"/>
      <c r="M100" s="13"/>
      <c r="N100" s="377"/>
      <c r="O100" s="367"/>
      <c r="P100" s="368"/>
    </row>
    <row r="101" spans="3:16" ht="25.5" x14ac:dyDescent="0.2">
      <c r="C101" s="366">
        <f t="shared" si="4"/>
        <v>85</v>
      </c>
      <c r="D101" s="413" t="s">
        <v>251</v>
      </c>
      <c r="E101" s="13">
        <f t="shared" si="5"/>
        <v>9</v>
      </c>
      <c r="F101" s="25">
        <f>H101+J101+L101+N101</f>
        <v>8.8710000000000004</v>
      </c>
      <c r="G101" s="13"/>
      <c r="H101" s="25"/>
      <c r="I101" s="13"/>
      <c r="J101" s="25"/>
      <c r="K101" s="13">
        <v>9</v>
      </c>
      <c r="L101" s="25">
        <v>8.8710000000000004</v>
      </c>
      <c r="M101" s="13"/>
      <c r="N101" s="377"/>
      <c r="O101" s="367"/>
      <c r="P101" s="368"/>
    </row>
    <row r="102" spans="3:16" x14ac:dyDescent="0.2">
      <c r="C102" s="366">
        <f t="shared" si="4"/>
        <v>86</v>
      </c>
      <c r="D102" s="15" t="s">
        <v>84</v>
      </c>
      <c r="E102" s="13">
        <f t="shared" si="5"/>
        <v>131</v>
      </c>
      <c r="F102" s="25">
        <f>H102+J102+L102+N102</f>
        <v>30.047999999999998</v>
      </c>
      <c r="G102" s="13"/>
      <c r="H102" s="25"/>
      <c r="I102" s="13">
        <v>131</v>
      </c>
      <c r="J102" s="25">
        <v>30.047999999999998</v>
      </c>
      <c r="K102" s="13"/>
      <c r="L102" s="25"/>
      <c r="M102" s="13"/>
      <c r="N102" s="377"/>
      <c r="O102" s="367"/>
      <c r="P102" s="368"/>
    </row>
    <row r="103" spans="3:16" x14ac:dyDescent="0.2">
      <c r="C103" s="366">
        <f t="shared" si="4"/>
        <v>87</v>
      </c>
      <c r="D103" s="15" t="s">
        <v>85</v>
      </c>
      <c r="E103" s="13">
        <f t="shared" si="5"/>
        <v>5.64</v>
      </c>
      <c r="F103" s="25"/>
      <c r="G103" s="13">
        <v>5.64</v>
      </c>
      <c r="H103" s="25"/>
      <c r="I103" s="13"/>
      <c r="J103" s="25"/>
      <c r="K103" s="13"/>
      <c r="L103" s="25"/>
      <c r="M103" s="13"/>
      <c r="N103" s="377"/>
      <c r="O103" s="367"/>
      <c r="P103" s="368"/>
    </row>
    <row r="104" spans="3:16" x14ac:dyDescent="0.2">
      <c r="C104" s="366">
        <f t="shared" si="4"/>
        <v>88</v>
      </c>
      <c r="D104" s="15" t="s">
        <v>86</v>
      </c>
      <c r="E104" s="13">
        <f t="shared" si="5"/>
        <v>5</v>
      </c>
      <c r="F104" s="25"/>
      <c r="G104" s="13">
        <v>5</v>
      </c>
      <c r="H104" s="25"/>
      <c r="I104" s="13"/>
      <c r="J104" s="25"/>
      <c r="K104" s="13"/>
      <c r="L104" s="25"/>
      <c r="M104" s="13"/>
      <c r="N104" s="377"/>
      <c r="O104" s="367"/>
      <c r="P104" s="368"/>
    </row>
    <row r="105" spans="3:16" ht="12.75" customHeight="1" x14ac:dyDescent="0.2">
      <c r="C105" s="366">
        <f t="shared" si="4"/>
        <v>89</v>
      </c>
      <c r="D105" s="382" t="s">
        <v>87</v>
      </c>
      <c r="E105" s="13">
        <f t="shared" si="5"/>
        <v>11.089</v>
      </c>
      <c r="F105" s="25"/>
      <c r="G105" s="13">
        <v>11.089</v>
      </c>
      <c r="H105" s="25"/>
      <c r="I105" s="13"/>
      <c r="J105" s="25"/>
      <c r="K105" s="13"/>
      <c r="L105" s="25"/>
      <c r="M105" s="13"/>
      <c r="N105" s="377"/>
      <c r="O105" s="367"/>
      <c r="P105" s="368"/>
    </row>
    <row r="106" spans="3:16" ht="25.5" x14ac:dyDescent="0.2">
      <c r="C106" s="366">
        <f t="shared" si="4"/>
        <v>90</v>
      </c>
      <c r="D106" s="382" t="s">
        <v>232</v>
      </c>
      <c r="E106" s="13">
        <f t="shared" si="5"/>
        <v>25</v>
      </c>
      <c r="F106" s="25"/>
      <c r="G106" s="13">
        <v>25</v>
      </c>
      <c r="H106" s="25"/>
      <c r="I106" s="13"/>
      <c r="J106" s="25"/>
      <c r="K106" s="13"/>
      <c r="L106" s="25"/>
      <c r="M106" s="13"/>
      <c r="N106" s="377"/>
      <c r="O106" s="367"/>
      <c r="P106" s="368"/>
    </row>
    <row r="107" spans="3:16" x14ac:dyDescent="0.2">
      <c r="C107" s="366">
        <f t="shared" si="4"/>
        <v>91</v>
      </c>
      <c r="D107" s="382" t="s">
        <v>233</v>
      </c>
      <c r="E107" s="13">
        <f t="shared" si="5"/>
        <v>32.9</v>
      </c>
      <c r="F107" s="25"/>
      <c r="G107" s="13">
        <f>30+2.9</f>
        <v>32.9</v>
      </c>
      <c r="H107" s="25"/>
      <c r="I107" s="13"/>
      <c r="J107" s="25"/>
      <c r="K107" s="13"/>
      <c r="L107" s="25"/>
      <c r="M107" s="13"/>
      <c r="N107" s="377"/>
      <c r="O107" s="367"/>
      <c r="P107" s="368"/>
    </row>
    <row r="108" spans="3:16" x14ac:dyDescent="0.2">
      <c r="C108" s="366">
        <f t="shared" si="4"/>
        <v>92</v>
      </c>
      <c r="D108" s="382" t="s">
        <v>548</v>
      </c>
      <c r="E108" s="13">
        <f t="shared" si="5"/>
        <v>30</v>
      </c>
      <c r="F108" s="25"/>
      <c r="G108" s="13">
        <v>30</v>
      </c>
      <c r="H108" s="25"/>
      <c r="I108" s="13"/>
      <c r="J108" s="25"/>
      <c r="K108" s="13"/>
      <c r="L108" s="25"/>
      <c r="M108" s="13"/>
      <c r="N108" s="377"/>
      <c r="O108" s="367"/>
      <c r="P108" s="368"/>
    </row>
    <row r="109" spans="3:16" ht="24.75" customHeight="1" x14ac:dyDescent="0.2">
      <c r="C109" s="366">
        <f t="shared" si="4"/>
        <v>93</v>
      </c>
      <c r="D109" s="382" t="s">
        <v>286</v>
      </c>
      <c r="E109" s="13">
        <f t="shared" si="5"/>
        <v>20</v>
      </c>
      <c r="F109" s="25"/>
      <c r="G109" s="13">
        <v>20</v>
      </c>
      <c r="H109" s="25"/>
      <c r="I109" s="13"/>
      <c r="J109" s="25"/>
      <c r="K109" s="13"/>
      <c r="L109" s="25"/>
      <c r="M109" s="13"/>
      <c r="N109" s="377"/>
      <c r="O109" s="367"/>
      <c r="P109" s="368"/>
    </row>
    <row r="110" spans="3:16" x14ac:dyDescent="0.2">
      <c r="C110" s="366">
        <f t="shared" si="4"/>
        <v>94</v>
      </c>
      <c r="D110" s="15" t="s">
        <v>88</v>
      </c>
      <c r="E110" s="13">
        <f t="shared" si="5"/>
        <v>3.3</v>
      </c>
      <c r="F110" s="25"/>
      <c r="G110" s="13">
        <v>3.3</v>
      </c>
      <c r="H110" s="25"/>
      <c r="I110" s="13"/>
      <c r="J110" s="25"/>
      <c r="K110" s="13"/>
      <c r="L110" s="25"/>
      <c r="M110" s="13"/>
      <c r="N110" s="377"/>
      <c r="O110" s="367"/>
      <c r="P110" s="368"/>
    </row>
    <row r="111" spans="3:16" ht="12.75" customHeight="1" x14ac:dyDescent="0.2">
      <c r="C111" s="366">
        <f t="shared" si="4"/>
        <v>95</v>
      </c>
      <c r="D111" s="381" t="s">
        <v>302</v>
      </c>
      <c r="E111" s="13">
        <f t="shared" si="5"/>
        <v>7</v>
      </c>
      <c r="F111" s="25"/>
      <c r="G111" s="13">
        <v>7</v>
      </c>
      <c r="H111" s="25"/>
      <c r="I111" s="13"/>
      <c r="J111" s="25"/>
      <c r="K111" s="13"/>
      <c r="L111" s="25"/>
      <c r="M111" s="13"/>
      <c r="N111" s="377"/>
      <c r="O111" s="367"/>
      <c r="P111" s="368"/>
    </row>
    <row r="112" spans="3:16" ht="12.75" customHeight="1" x14ac:dyDescent="0.2">
      <c r="C112" s="366">
        <f t="shared" si="4"/>
        <v>96</v>
      </c>
      <c r="D112" s="381" t="s">
        <v>266</v>
      </c>
      <c r="E112" s="13">
        <f t="shared" si="5"/>
        <v>18.5</v>
      </c>
      <c r="F112" s="25"/>
      <c r="G112" s="13">
        <v>18.5</v>
      </c>
      <c r="H112" s="25"/>
      <c r="I112" s="13"/>
      <c r="J112" s="25"/>
      <c r="K112" s="13"/>
      <c r="L112" s="25"/>
      <c r="M112" s="13"/>
      <c r="N112" s="377"/>
      <c r="O112" s="367"/>
      <c r="P112" s="368"/>
    </row>
    <row r="113" spans="3:16" ht="12.75" customHeight="1" x14ac:dyDescent="0.2">
      <c r="C113" s="366">
        <f t="shared" si="4"/>
        <v>97</v>
      </c>
      <c r="D113" s="382" t="s">
        <v>225</v>
      </c>
      <c r="E113" s="13">
        <f t="shared" si="5"/>
        <v>20</v>
      </c>
      <c r="F113" s="25"/>
      <c r="G113" s="13">
        <v>20</v>
      </c>
      <c r="H113" s="25"/>
      <c r="I113" s="13"/>
      <c r="J113" s="25"/>
      <c r="K113" s="13"/>
      <c r="L113" s="25"/>
      <c r="M113" s="13"/>
      <c r="N113" s="377"/>
      <c r="O113" s="367"/>
      <c r="P113" s="368"/>
    </row>
    <row r="114" spans="3:16" ht="12.75" customHeight="1" x14ac:dyDescent="0.2">
      <c r="C114" s="366">
        <f t="shared" si="4"/>
        <v>98</v>
      </c>
      <c r="D114" s="382" t="s">
        <v>222</v>
      </c>
      <c r="E114" s="13">
        <f t="shared" si="5"/>
        <v>4</v>
      </c>
      <c r="F114" s="25"/>
      <c r="G114" s="13">
        <v>4</v>
      </c>
      <c r="H114" s="25"/>
      <c r="I114" s="13"/>
      <c r="J114" s="25"/>
      <c r="K114" s="13"/>
      <c r="L114" s="25"/>
      <c r="M114" s="13"/>
      <c r="N114" s="377"/>
      <c r="O114" s="367"/>
      <c r="P114" s="368"/>
    </row>
    <row r="115" spans="3:16" ht="12.75" customHeight="1" x14ac:dyDescent="0.2">
      <c r="C115" s="366">
        <f t="shared" si="4"/>
        <v>99</v>
      </c>
      <c r="D115" s="15" t="s">
        <v>231</v>
      </c>
      <c r="E115" s="13">
        <f t="shared" si="5"/>
        <v>34</v>
      </c>
      <c r="F115" s="25"/>
      <c r="G115" s="13">
        <v>34</v>
      </c>
      <c r="H115" s="25"/>
      <c r="I115" s="13"/>
      <c r="J115" s="25"/>
      <c r="K115" s="13"/>
      <c r="L115" s="25"/>
      <c r="M115" s="13"/>
      <c r="N115" s="377"/>
      <c r="O115" s="367"/>
      <c r="P115" s="368"/>
    </row>
    <row r="116" spans="3:16" ht="12.75" customHeight="1" x14ac:dyDescent="0.2">
      <c r="C116" s="366">
        <f t="shared" si="4"/>
        <v>100</v>
      </c>
      <c r="D116" s="382" t="s">
        <v>299</v>
      </c>
      <c r="E116" s="13">
        <f t="shared" si="5"/>
        <v>6.5</v>
      </c>
      <c r="F116" s="25"/>
      <c r="G116" s="13">
        <v>6.5</v>
      </c>
      <c r="H116" s="25"/>
      <c r="I116" s="13"/>
      <c r="J116" s="25"/>
      <c r="K116" s="13"/>
      <c r="L116" s="25"/>
      <c r="M116" s="13"/>
      <c r="N116" s="377"/>
      <c r="O116" s="367"/>
      <c r="P116" s="368"/>
    </row>
    <row r="117" spans="3:16" ht="51" customHeight="1" x14ac:dyDescent="0.2">
      <c r="C117" s="366">
        <f t="shared" si="4"/>
        <v>101</v>
      </c>
      <c r="D117" s="402" t="s">
        <v>615</v>
      </c>
      <c r="E117" s="13">
        <f t="shared" si="5"/>
        <v>0</v>
      </c>
      <c r="F117" s="379"/>
      <c r="G117" s="378"/>
      <c r="H117" s="379"/>
      <c r="I117" s="378">
        <v>0</v>
      </c>
      <c r="J117" s="379"/>
      <c r="K117" s="378"/>
      <c r="L117" s="379"/>
      <c r="M117" s="378"/>
      <c r="N117" s="377"/>
      <c r="O117" s="367"/>
      <c r="P117" s="368"/>
    </row>
    <row r="118" spans="3:16" ht="29.25" customHeight="1" x14ac:dyDescent="0.2">
      <c r="C118" s="366">
        <f t="shared" si="4"/>
        <v>102</v>
      </c>
      <c r="D118" s="464" t="s">
        <v>476</v>
      </c>
      <c r="E118" s="13">
        <f t="shared" si="5"/>
        <v>1.2650999999999999</v>
      </c>
      <c r="F118" s="408"/>
      <c r="G118" s="405">
        <v>1.2650999999999999</v>
      </c>
      <c r="H118" s="408"/>
      <c r="I118" s="405"/>
      <c r="J118" s="408"/>
      <c r="K118" s="405"/>
      <c r="L118" s="408"/>
      <c r="M118" s="405"/>
      <c r="N118" s="410"/>
      <c r="O118" s="411"/>
      <c r="P118" s="412"/>
    </row>
    <row r="119" spans="3:16" ht="12.75" customHeight="1" x14ac:dyDescent="0.2">
      <c r="C119" s="366">
        <f t="shared" si="4"/>
        <v>103</v>
      </c>
      <c r="D119" s="414" t="s">
        <v>265</v>
      </c>
      <c r="E119" s="22">
        <f t="shared" si="5"/>
        <v>267.60000000000002</v>
      </c>
      <c r="F119" s="22">
        <f t="shared" si="5"/>
        <v>0</v>
      </c>
      <c r="G119" s="22">
        <f>SUM(G120:G128)</f>
        <v>267.60000000000002</v>
      </c>
      <c r="H119" s="22">
        <f>SUM(H120:H128)</f>
        <v>0</v>
      </c>
      <c r="I119" s="13"/>
      <c r="J119" s="25"/>
      <c r="K119" s="13"/>
      <c r="L119" s="25"/>
      <c r="M119" s="13"/>
      <c r="N119" s="377"/>
      <c r="O119" s="367"/>
      <c r="P119" s="368"/>
    </row>
    <row r="120" spans="3:16" x14ac:dyDescent="0.2">
      <c r="C120" s="366">
        <f t="shared" si="4"/>
        <v>104</v>
      </c>
      <c r="D120" s="382" t="s">
        <v>67</v>
      </c>
      <c r="E120" s="13">
        <f t="shared" si="5"/>
        <v>16</v>
      </c>
      <c r="F120" s="25"/>
      <c r="G120" s="13">
        <v>16</v>
      </c>
      <c r="H120" s="25"/>
      <c r="I120" s="13"/>
      <c r="J120" s="25"/>
      <c r="K120" s="13"/>
      <c r="L120" s="25"/>
      <c r="M120" s="13"/>
      <c r="N120" s="377"/>
      <c r="O120" s="367"/>
      <c r="P120" s="368"/>
    </row>
    <row r="121" spans="3:16" x14ac:dyDescent="0.2">
      <c r="C121" s="366">
        <f t="shared" si="4"/>
        <v>105</v>
      </c>
      <c r="D121" s="382" t="s">
        <v>267</v>
      </c>
      <c r="E121" s="13">
        <f t="shared" si="5"/>
        <v>65</v>
      </c>
      <c r="F121" s="25"/>
      <c r="G121" s="13">
        <v>65</v>
      </c>
      <c r="H121" s="25"/>
      <c r="I121" s="13"/>
      <c r="J121" s="25"/>
      <c r="K121" s="13"/>
      <c r="L121" s="25"/>
      <c r="M121" s="13"/>
      <c r="N121" s="377"/>
      <c r="O121" s="367"/>
      <c r="P121" s="368"/>
    </row>
    <row r="122" spans="3:16" x14ac:dyDescent="0.2">
      <c r="C122" s="366">
        <f t="shared" si="4"/>
        <v>106</v>
      </c>
      <c r="D122" s="382" t="s">
        <v>549</v>
      </c>
      <c r="E122" s="13">
        <f t="shared" si="5"/>
        <v>16</v>
      </c>
      <c r="F122" s="25"/>
      <c r="G122" s="13">
        <v>16</v>
      </c>
      <c r="H122" s="25"/>
      <c r="I122" s="13"/>
      <c r="J122" s="25"/>
      <c r="K122" s="13"/>
      <c r="L122" s="25"/>
      <c r="M122" s="13"/>
      <c r="N122" s="377"/>
      <c r="O122" s="367"/>
      <c r="P122" s="368"/>
    </row>
    <row r="123" spans="3:16" ht="12.75" customHeight="1" x14ac:dyDescent="0.2">
      <c r="C123" s="366">
        <f t="shared" si="4"/>
        <v>107</v>
      </c>
      <c r="D123" s="382" t="s">
        <v>268</v>
      </c>
      <c r="E123" s="13">
        <f t="shared" si="5"/>
        <v>45</v>
      </c>
      <c r="F123" s="25"/>
      <c r="G123" s="13">
        <v>45</v>
      </c>
      <c r="H123" s="25"/>
      <c r="I123" s="13"/>
      <c r="J123" s="25"/>
      <c r="K123" s="13"/>
      <c r="L123" s="25"/>
      <c r="M123" s="13"/>
      <c r="N123" s="377"/>
      <c r="O123" s="367"/>
      <c r="P123" s="368"/>
    </row>
    <row r="124" spans="3:16" ht="25.5" x14ac:dyDescent="0.2">
      <c r="C124" s="366">
        <f t="shared" si="4"/>
        <v>108</v>
      </c>
      <c r="D124" s="382" t="s">
        <v>271</v>
      </c>
      <c r="E124" s="13">
        <f t="shared" si="5"/>
        <v>15</v>
      </c>
      <c r="F124" s="25"/>
      <c r="G124" s="13">
        <v>15</v>
      </c>
      <c r="H124" s="25"/>
      <c r="I124" s="13"/>
      <c r="J124" s="25"/>
      <c r="K124" s="13"/>
      <c r="L124" s="25"/>
      <c r="M124" s="13"/>
      <c r="N124" s="377"/>
      <c r="O124" s="367"/>
      <c r="P124" s="368"/>
    </row>
    <row r="125" spans="3:16" x14ac:dyDescent="0.2">
      <c r="C125" s="366">
        <f t="shared" si="4"/>
        <v>109</v>
      </c>
      <c r="D125" s="382" t="s">
        <v>269</v>
      </c>
      <c r="E125" s="13">
        <f t="shared" si="5"/>
        <v>20</v>
      </c>
      <c r="F125" s="25"/>
      <c r="G125" s="13">
        <v>20</v>
      </c>
      <c r="H125" s="25"/>
      <c r="I125" s="13"/>
      <c r="J125" s="25"/>
      <c r="K125" s="13"/>
      <c r="L125" s="25"/>
      <c r="M125" s="13"/>
      <c r="N125" s="377"/>
      <c r="O125" s="367"/>
      <c r="P125" s="368"/>
    </row>
    <row r="126" spans="3:16" ht="25.5" x14ac:dyDescent="0.2">
      <c r="C126" s="366">
        <f t="shared" si="4"/>
        <v>110</v>
      </c>
      <c r="D126" s="382" t="s">
        <v>270</v>
      </c>
      <c r="E126" s="13">
        <f t="shared" si="5"/>
        <v>11</v>
      </c>
      <c r="F126" s="25"/>
      <c r="G126" s="13">
        <v>11</v>
      </c>
      <c r="H126" s="25"/>
      <c r="I126" s="13"/>
      <c r="J126" s="25"/>
      <c r="K126" s="13"/>
      <c r="L126" s="25"/>
      <c r="M126" s="13"/>
      <c r="N126" s="377"/>
      <c r="O126" s="367"/>
      <c r="P126" s="368"/>
    </row>
    <row r="127" spans="3:16" x14ac:dyDescent="0.2">
      <c r="C127" s="366">
        <f t="shared" si="4"/>
        <v>111</v>
      </c>
      <c r="D127" s="382" t="s">
        <v>385</v>
      </c>
      <c r="E127" s="409">
        <f t="shared" si="5"/>
        <v>43.3</v>
      </c>
      <c r="F127" s="408"/>
      <c r="G127" s="13">
        <v>43.3</v>
      </c>
      <c r="H127" s="25"/>
      <c r="I127" s="13"/>
      <c r="J127" s="25"/>
      <c r="K127" s="13"/>
      <c r="L127" s="25"/>
      <c r="M127" s="13"/>
      <c r="N127" s="377"/>
      <c r="O127" s="367"/>
      <c r="P127" s="368"/>
    </row>
    <row r="128" spans="3:16" ht="25.5" x14ac:dyDescent="0.2">
      <c r="C128" s="366">
        <f t="shared" si="4"/>
        <v>112</v>
      </c>
      <c r="D128" s="382" t="s">
        <v>486</v>
      </c>
      <c r="E128" s="13">
        <f t="shared" si="5"/>
        <v>36.299999999999997</v>
      </c>
      <c r="F128" s="25"/>
      <c r="G128" s="13">
        <v>36.299999999999997</v>
      </c>
      <c r="H128" s="25"/>
      <c r="I128" s="13"/>
      <c r="J128" s="25"/>
      <c r="K128" s="13"/>
      <c r="L128" s="25"/>
      <c r="M128" s="13"/>
      <c r="N128" s="377"/>
      <c r="O128" s="367"/>
      <c r="P128" s="368"/>
    </row>
    <row r="129" spans="3:16" x14ac:dyDescent="0.2">
      <c r="C129" s="366">
        <f t="shared" si="4"/>
        <v>113</v>
      </c>
      <c r="D129" s="18" t="s">
        <v>1</v>
      </c>
      <c r="E129" s="22">
        <f t="shared" si="5"/>
        <v>1368.5319999999999</v>
      </c>
      <c r="F129" s="23">
        <f>H129+J129+L129+N129</f>
        <v>1213.2190000000001</v>
      </c>
      <c r="G129" s="22">
        <f>63.932+70</f>
        <v>133.93200000000002</v>
      </c>
      <c r="H129" s="23">
        <v>62.518999999999998</v>
      </c>
      <c r="I129" s="22">
        <v>1234.5999999999999</v>
      </c>
      <c r="J129" s="23">
        <v>1150.7</v>
      </c>
      <c r="K129" s="13"/>
      <c r="L129" s="25"/>
      <c r="M129" s="13"/>
      <c r="N129" s="377"/>
      <c r="O129" s="367"/>
      <c r="P129" s="368"/>
    </row>
    <row r="130" spans="3:16" x14ac:dyDescent="0.2">
      <c r="C130" s="366">
        <f t="shared" si="4"/>
        <v>114</v>
      </c>
      <c r="D130" s="18" t="s">
        <v>3</v>
      </c>
      <c r="E130" s="22">
        <f t="shared" si="5"/>
        <v>780.73099999999999</v>
      </c>
      <c r="F130" s="23">
        <f>H130+J130+L130+N130</f>
        <v>641.43500000000006</v>
      </c>
      <c r="G130" s="22">
        <v>734.93100000000004</v>
      </c>
      <c r="H130" s="23">
        <v>633.70100000000002</v>
      </c>
      <c r="I130" s="22"/>
      <c r="J130" s="23"/>
      <c r="K130" s="13"/>
      <c r="L130" s="25"/>
      <c r="M130" s="22">
        <v>45.8</v>
      </c>
      <c r="N130" s="415">
        <v>7.734</v>
      </c>
      <c r="O130" s="367"/>
      <c r="P130" s="368"/>
    </row>
    <row r="131" spans="3:16" x14ac:dyDescent="0.2">
      <c r="C131" s="366">
        <f t="shared" si="4"/>
        <v>115</v>
      </c>
      <c r="D131" s="18" t="s">
        <v>4</v>
      </c>
      <c r="E131" s="22">
        <f t="shared" si="5"/>
        <v>883.30100000000004</v>
      </c>
      <c r="F131" s="23">
        <f>H131+J131+L131+N131</f>
        <v>632.51</v>
      </c>
      <c r="G131" s="22">
        <v>828.30100000000004</v>
      </c>
      <c r="H131" s="23">
        <v>632.51</v>
      </c>
      <c r="I131" s="22"/>
      <c r="J131" s="23"/>
      <c r="K131" s="13"/>
      <c r="L131" s="25"/>
      <c r="M131" s="22">
        <v>55</v>
      </c>
      <c r="N131" s="415"/>
      <c r="O131" s="367"/>
      <c r="P131" s="368"/>
    </row>
    <row r="132" spans="3:16" x14ac:dyDescent="0.2">
      <c r="C132" s="366">
        <f t="shared" si="4"/>
        <v>116</v>
      </c>
      <c r="D132" s="35" t="s">
        <v>288</v>
      </c>
      <c r="E132" s="22">
        <f t="shared" si="5"/>
        <v>1161.3230000000001</v>
      </c>
      <c r="F132" s="23">
        <f>H132+J132+L132+N132</f>
        <v>967.31899999999996</v>
      </c>
      <c r="G132" s="22">
        <v>1123.9590000000001</v>
      </c>
      <c r="H132" s="23">
        <v>967.31899999999996</v>
      </c>
      <c r="I132" s="22">
        <v>33.564</v>
      </c>
      <c r="J132" s="23"/>
      <c r="K132" s="13"/>
      <c r="L132" s="25"/>
      <c r="M132" s="22">
        <v>3.8</v>
      </c>
      <c r="N132" s="415"/>
      <c r="O132" s="367"/>
      <c r="P132" s="368"/>
    </row>
    <row r="133" spans="3:16" x14ac:dyDescent="0.2">
      <c r="C133" s="366">
        <f t="shared" si="4"/>
        <v>117</v>
      </c>
      <c r="D133" s="18" t="s">
        <v>91</v>
      </c>
      <c r="E133" s="22">
        <f t="shared" si="5"/>
        <v>690.67200000000003</v>
      </c>
      <c r="F133" s="23">
        <f>H133+J133+L133+N133</f>
        <v>450.72999999999996</v>
      </c>
      <c r="G133" s="22">
        <v>669.67200000000003</v>
      </c>
      <c r="H133" s="23">
        <v>446.59</v>
      </c>
      <c r="I133" s="22"/>
      <c r="J133" s="23"/>
      <c r="K133" s="13"/>
      <c r="L133" s="25"/>
      <c r="M133" s="22">
        <v>21</v>
      </c>
      <c r="N133" s="415">
        <v>4.1399999999999997</v>
      </c>
      <c r="O133" s="367"/>
      <c r="P133" s="368"/>
    </row>
    <row r="134" spans="3:16" x14ac:dyDescent="0.2">
      <c r="C134" s="366">
        <f t="shared" si="4"/>
        <v>118</v>
      </c>
      <c r="D134" s="398" t="s">
        <v>27</v>
      </c>
      <c r="E134" s="370">
        <f t="shared" ref="E134:E149" si="7">G134+I134+K134+M134</f>
        <v>1259.4070300000001</v>
      </c>
      <c r="F134" s="23">
        <f t="shared" ref="F134:F149" si="8">H134+J134+L134+N134</f>
        <v>1005.215</v>
      </c>
      <c r="G134" s="370">
        <v>994.84402999999998</v>
      </c>
      <c r="H134" s="23">
        <v>845.99599999999998</v>
      </c>
      <c r="I134" s="416">
        <v>104.563</v>
      </c>
      <c r="J134" s="417">
        <v>59.662999999999997</v>
      </c>
      <c r="K134" s="13"/>
      <c r="L134" s="25"/>
      <c r="M134" s="22">
        <v>160</v>
      </c>
      <c r="N134" s="415">
        <v>99.555999999999997</v>
      </c>
      <c r="O134" s="367"/>
      <c r="P134" s="368"/>
    </row>
    <row r="135" spans="3:16" x14ac:dyDescent="0.2">
      <c r="C135" s="366">
        <f t="shared" si="4"/>
        <v>119</v>
      </c>
      <c r="D135" s="27" t="s">
        <v>6</v>
      </c>
      <c r="E135" s="22">
        <f t="shared" si="7"/>
        <v>648.67799999999988</v>
      </c>
      <c r="F135" s="23">
        <f t="shared" si="8"/>
        <v>418.584</v>
      </c>
      <c r="G135" s="22">
        <v>24.378</v>
      </c>
      <c r="H135" s="23">
        <v>19.771000000000001</v>
      </c>
      <c r="I135" s="22">
        <v>287.89999999999998</v>
      </c>
      <c r="J135" s="23">
        <v>185.21</v>
      </c>
      <c r="K135" s="13"/>
      <c r="L135" s="25"/>
      <c r="M135" s="22">
        <v>336.4</v>
      </c>
      <c r="N135" s="415">
        <v>213.60300000000001</v>
      </c>
      <c r="O135" s="367"/>
      <c r="P135" s="368"/>
    </row>
    <row r="136" spans="3:16" x14ac:dyDescent="0.2">
      <c r="C136" s="366">
        <f t="shared" si="4"/>
        <v>120</v>
      </c>
      <c r="D136" s="27" t="s">
        <v>228</v>
      </c>
      <c r="E136" s="22">
        <f t="shared" si="7"/>
        <v>544.33500000000004</v>
      </c>
      <c r="F136" s="23">
        <f t="shared" si="8"/>
        <v>257.98199999999997</v>
      </c>
      <c r="G136" s="22">
        <v>344.33499999999998</v>
      </c>
      <c r="H136" s="23">
        <v>247.982</v>
      </c>
      <c r="I136" s="22"/>
      <c r="J136" s="23"/>
      <c r="K136" s="13"/>
      <c r="L136" s="25"/>
      <c r="M136" s="22">
        <v>200</v>
      </c>
      <c r="N136" s="415">
        <v>10</v>
      </c>
      <c r="O136" s="367"/>
      <c r="P136" s="368"/>
    </row>
    <row r="137" spans="3:16" x14ac:dyDescent="0.2">
      <c r="C137" s="366">
        <f t="shared" si="4"/>
        <v>121</v>
      </c>
      <c r="D137" s="27" t="s">
        <v>259</v>
      </c>
      <c r="E137" s="22">
        <f t="shared" si="7"/>
        <v>1888.614</v>
      </c>
      <c r="F137" s="23">
        <f t="shared" si="8"/>
        <v>1595.9740000000002</v>
      </c>
      <c r="G137" s="22">
        <v>1205.873</v>
      </c>
      <c r="H137" s="23">
        <v>1073.615</v>
      </c>
      <c r="I137" s="22">
        <f>711.996-88</f>
        <v>623.99599999999998</v>
      </c>
      <c r="J137" s="23">
        <f>609.033-86.674</f>
        <v>522.35900000000004</v>
      </c>
      <c r="K137" s="13"/>
      <c r="L137" s="25"/>
      <c r="M137" s="22">
        <v>58.744999999999997</v>
      </c>
      <c r="N137" s="415"/>
      <c r="O137" s="367"/>
      <c r="P137" s="368"/>
    </row>
    <row r="138" spans="3:16" x14ac:dyDescent="0.2">
      <c r="C138" s="366">
        <f t="shared" si="4"/>
        <v>122</v>
      </c>
      <c r="D138" s="418" t="s">
        <v>675</v>
      </c>
      <c r="E138" s="22">
        <f t="shared" si="7"/>
        <v>43.3</v>
      </c>
      <c r="F138" s="23">
        <f t="shared" si="8"/>
        <v>32.5</v>
      </c>
      <c r="G138" s="419">
        <v>43.3</v>
      </c>
      <c r="H138" s="372">
        <v>32.5</v>
      </c>
      <c r="I138" s="419"/>
      <c r="J138" s="372"/>
      <c r="K138" s="405"/>
      <c r="L138" s="408"/>
      <c r="M138" s="419"/>
      <c r="N138" s="371"/>
      <c r="O138" s="411"/>
      <c r="P138" s="412"/>
    </row>
    <row r="139" spans="3:16" x14ac:dyDescent="0.2">
      <c r="C139" s="366">
        <f t="shared" si="4"/>
        <v>123</v>
      </c>
      <c r="D139" s="18" t="s">
        <v>7</v>
      </c>
      <c r="E139" s="22">
        <f t="shared" si="7"/>
        <v>132.71299999999999</v>
      </c>
      <c r="F139" s="23"/>
      <c r="G139" s="22">
        <f>110.299+1.03</f>
        <v>111.32900000000001</v>
      </c>
      <c r="H139" s="23"/>
      <c r="I139" s="22">
        <v>20.684000000000001</v>
      </c>
      <c r="J139" s="23"/>
      <c r="K139" s="13"/>
      <c r="L139" s="25"/>
      <c r="M139" s="22">
        <v>0.7</v>
      </c>
      <c r="N139" s="377"/>
      <c r="O139" s="367"/>
      <c r="P139" s="368"/>
    </row>
    <row r="140" spans="3:16" x14ac:dyDescent="0.2">
      <c r="C140" s="366">
        <f t="shared" si="4"/>
        <v>124</v>
      </c>
      <c r="D140" s="18" t="s">
        <v>8</v>
      </c>
      <c r="E140" s="22">
        <f t="shared" si="7"/>
        <v>79.12</v>
      </c>
      <c r="F140" s="23"/>
      <c r="G140" s="22">
        <f>59.294+0.93</f>
        <v>60.223999999999997</v>
      </c>
      <c r="H140" s="23"/>
      <c r="I140" s="22">
        <v>15.396000000000001</v>
      </c>
      <c r="J140" s="23"/>
      <c r="K140" s="13"/>
      <c r="L140" s="25"/>
      <c r="M140" s="22">
        <v>3.5</v>
      </c>
      <c r="N140" s="377"/>
      <c r="O140" s="367"/>
      <c r="P140" s="368"/>
    </row>
    <row r="141" spans="3:16" x14ac:dyDescent="0.2">
      <c r="C141" s="366">
        <f t="shared" si="4"/>
        <v>125</v>
      </c>
      <c r="D141" s="18" t="s">
        <v>9</v>
      </c>
      <c r="E141" s="22">
        <f t="shared" si="7"/>
        <v>114.372</v>
      </c>
      <c r="F141" s="23"/>
      <c r="G141" s="22">
        <f>91.514+1.11</f>
        <v>92.623999999999995</v>
      </c>
      <c r="H141" s="23"/>
      <c r="I141" s="22">
        <v>17.748000000000001</v>
      </c>
      <c r="J141" s="23"/>
      <c r="K141" s="13"/>
      <c r="L141" s="25"/>
      <c r="M141" s="22">
        <v>4</v>
      </c>
      <c r="N141" s="377"/>
      <c r="O141" s="367"/>
      <c r="P141" s="368"/>
    </row>
    <row r="142" spans="3:16" x14ac:dyDescent="0.2">
      <c r="C142" s="366">
        <f t="shared" si="4"/>
        <v>126</v>
      </c>
      <c r="D142" s="18" t="s">
        <v>10</v>
      </c>
      <c r="E142" s="22">
        <f t="shared" si="7"/>
        <v>28.292999999999999</v>
      </c>
      <c r="F142" s="23"/>
      <c r="G142" s="22">
        <f>21.129+0.5</f>
        <v>21.629000000000001</v>
      </c>
      <c r="H142" s="23"/>
      <c r="I142" s="22">
        <v>6.6639999999999997</v>
      </c>
      <c r="J142" s="23"/>
      <c r="K142" s="13"/>
      <c r="L142" s="25"/>
      <c r="M142" s="22"/>
      <c r="N142" s="377"/>
      <c r="O142" s="367"/>
      <c r="P142" s="368"/>
    </row>
    <row r="143" spans="3:16" ht="12" customHeight="1" x14ac:dyDescent="0.2">
      <c r="C143" s="366">
        <f t="shared" si="4"/>
        <v>127</v>
      </c>
      <c r="D143" s="18" t="s">
        <v>11</v>
      </c>
      <c r="E143" s="22">
        <f t="shared" si="7"/>
        <v>77.802000000000007</v>
      </c>
      <c r="F143" s="23"/>
      <c r="G143" s="22">
        <f>64.674+0.6</f>
        <v>65.274000000000001</v>
      </c>
      <c r="H143" s="23"/>
      <c r="I143" s="22">
        <v>9.4079999999999995</v>
      </c>
      <c r="J143" s="23"/>
      <c r="K143" s="13"/>
      <c r="L143" s="25"/>
      <c r="M143" s="22">
        <v>3.12</v>
      </c>
      <c r="N143" s="377"/>
      <c r="O143" s="367"/>
      <c r="P143" s="368"/>
    </row>
    <row r="144" spans="3:16" x14ac:dyDescent="0.2">
      <c r="C144" s="366">
        <f t="shared" si="4"/>
        <v>128</v>
      </c>
      <c r="D144" s="35" t="s">
        <v>12</v>
      </c>
      <c r="E144" s="22">
        <f t="shared" si="7"/>
        <v>141.30500000000001</v>
      </c>
      <c r="F144" s="23"/>
      <c r="G144" s="22">
        <f>111.733+1.14</f>
        <v>112.873</v>
      </c>
      <c r="H144" s="23"/>
      <c r="I144" s="22">
        <v>27.832000000000001</v>
      </c>
      <c r="J144" s="23"/>
      <c r="K144" s="13"/>
      <c r="L144" s="25"/>
      <c r="M144" s="22">
        <v>0.6</v>
      </c>
      <c r="N144" s="377"/>
      <c r="O144" s="378"/>
      <c r="P144" s="379"/>
    </row>
    <row r="145" spans="3:16" x14ac:dyDescent="0.2">
      <c r="C145" s="366">
        <f t="shared" si="4"/>
        <v>129</v>
      </c>
      <c r="D145" s="18" t="s">
        <v>94</v>
      </c>
      <c r="E145" s="22">
        <f t="shared" si="7"/>
        <v>168.99599999999998</v>
      </c>
      <c r="F145" s="23"/>
      <c r="G145" s="22">
        <f>129.634+15+1.41</f>
        <v>146.04399999999998</v>
      </c>
      <c r="H145" s="23"/>
      <c r="I145" s="22">
        <v>22.452000000000002</v>
      </c>
      <c r="J145" s="23"/>
      <c r="K145" s="13"/>
      <c r="L145" s="25"/>
      <c r="M145" s="22">
        <v>0.5</v>
      </c>
      <c r="N145" s="377"/>
      <c r="O145" s="367"/>
      <c r="P145" s="368"/>
    </row>
    <row r="146" spans="3:16" x14ac:dyDescent="0.2">
      <c r="C146" s="366">
        <f t="shared" si="4"/>
        <v>130</v>
      </c>
      <c r="D146" s="18" t="s">
        <v>14</v>
      </c>
      <c r="E146" s="22">
        <f t="shared" si="7"/>
        <v>33.853999999999999</v>
      </c>
      <c r="F146" s="23"/>
      <c r="G146" s="22">
        <f>21.586+0.74</f>
        <v>22.325999999999997</v>
      </c>
      <c r="H146" s="23"/>
      <c r="I146" s="22">
        <v>10.976000000000001</v>
      </c>
      <c r="J146" s="23"/>
      <c r="K146" s="13"/>
      <c r="L146" s="25"/>
      <c r="M146" s="22">
        <v>0.55200000000000005</v>
      </c>
      <c r="N146" s="377"/>
      <c r="O146" s="367"/>
      <c r="P146" s="368"/>
    </row>
    <row r="147" spans="3:16" x14ac:dyDescent="0.2">
      <c r="C147" s="366">
        <f t="shared" si="4"/>
        <v>131</v>
      </c>
      <c r="D147" s="18" t="s">
        <v>28</v>
      </c>
      <c r="E147" s="22">
        <f t="shared" si="7"/>
        <v>109.99</v>
      </c>
      <c r="F147" s="23"/>
      <c r="G147" s="22">
        <f>76.25+1.58</f>
        <v>77.83</v>
      </c>
      <c r="H147" s="23"/>
      <c r="I147" s="22">
        <v>31.86</v>
      </c>
      <c r="J147" s="23"/>
      <c r="K147" s="13"/>
      <c r="L147" s="25"/>
      <c r="M147" s="22">
        <v>0.3</v>
      </c>
      <c r="N147" s="377"/>
      <c r="O147" s="367"/>
      <c r="P147" s="368"/>
    </row>
    <row r="148" spans="3:16" ht="13.5" customHeight="1" x14ac:dyDescent="0.2">
      <c r="C148" s="366">
        <f t="shared" si="4"/>
        <v>132</v>
      </c>
      <c r="D148" s="420" t="s">
        <v>16</v>
      </c>
      <c r="E148" s="419">
        <f t="shared" si="7"/>
        <v>690.88800000000003</v>
      </c>
      <c r="F148" s="372"/>
      <c r="G148" s="419">
        <f>593.38+0.96</f>
        <v>594.34</v>
      </c>
      <c r="H148" s="372"/>
      <c r="I148" s="419">
        <v>94.58</v>
      </c>
      <c r="J148" s="372"/>
      <c r="K148" s="405"/>
      <c r="L148" s="408"/>
      <c r="M148" s="419">
        <v>1.968</v>
      </c>
      <c r="N148" s="410"/>
      <c r="O148" s="411"/>
      <c r="P148" s="412"/>
    </row>
    <row r="149" spans="3:16" ht="16.5" hidden="1" customHeight="1" thickBot="1" x14ac:dyDescent="0.25">
      <c r="C149" s="366">
        <f t="shared" si="4"/>
        <v>133</v>
      </c>
      <c r="D149" s="421" t="s">
        <v>636</v>
      </c>
      <c r="E149" s="422">
        <f t="shared" si="7"/>
        <v>33048.80732</v>
      </c>
      <c r="F149" s="423">
        <f t="shared" si="8"/>
        <v>12320.246999999999</v>
      </c>
      <c r="G149" s="424">
        <f t="shared" ref="G149:P149" si="9">G17+G19+G28+G29+G54+G62+G72+G76+G89+G92+G98+G119+SUM(G129:G148)</f>
        <v>20258.188000000002</v>
      </c>
      <c r="H149" s="423">
        <f t="shared" si="9"/>
        <v>9451.6270000000004</v>
      </c>
      <c r="I149" s="425">
        <f t="shared" si="9"/>
        <v>11835.634320000001</v>
      </c>
      <c r="J149" s="423">
        <f t="shared" si="9"/>
        <v>2524.7160000000003</v>
      </c>
      <c r="K149" s="424">
        <f t="shared" si="9"/>
        <v>9</v>
      </c>
      <c r="L149" s="423">
        <f t="shared" si="9"/>
        <v>8.8710000000000004</v>
      </c>
      <c r="M149" s="424">
        <f t="shared" si="9"/>
        <v>945.98500000000001</v>
      </c>
      <c r="N149" s="426">
        <f t="shared" si="9"/>
        <v>335.03300000000002</v>
      </c>
      <c r="O149" s="424">
        <f t="shared" si="9"/>
        <v>424.05900000000003</v>
      </c>
      <c r="P149" s="423">
        <f t="shared" si="9"/>
        <v>0</v>
      </c>
    </row>
    <row r="150" spans="3:16" x14ac:dyDescent="0.2">
      <c r="C150" s="366">
        <f t="shared" ref="C150:C182" si="10">C149+1</f>
        <v>134</v>
      </c>
      <c r="D150" s="82" t="s">
        <v>277</v>
      </c>
      <c r="E150" s="77">
        <f t="shared" ref="E150:E162" si="11">+G150+I150+K150+M150</f>
        <v>661.529</v>
      </c>
      <c r="F150" s="78">
        <f t="shared" ref="F150:F162" si="12">+H150+J150+L150+N150</f>
        <v>574.81100000000004</v>
      </c>
      <c r="G150" s="77">
        <v>416.36099999999999</v>
      </c>
      <c r="H150" s="78">
        <v>369.11500000000001</v>
      </c>
      <c r="I150" s="77">
        <v>2.8159999999999998</v>
      </c>
      <c r="J150" s="78">
        <v>0.41</v>
      </c>
      <c r="K150" s="77">
        <v>213.352</v>
      </c>
      <c r="L150" s="78">
        <v>205.286</v>
      </c>
      <c r="M150" s="77">
        <v>29</v>
      </c>
      <c r="N150" s="76"/>
      <c r="O150" s="427"/>
      <c r="P150" s="428"/>
    </row>
    <row r="151" spans="3:16" x14ac:dyDescent="0.2">
      <c r="C151" s="366">
        <f t="shared" si="10"/>
        <v>135</v>
      </c>
      <c r="D151" s="18" t="s">
        <v>278</v>
      </c>
      <c r="E151" s="22">
        <f t="shared" si="11"/>
        <v>1049.597</v>
      </c>
      <c r="F151" s="23">
        <f t="shared" si="12"/>
        <v>893.63200000000006</v>
      </c>
      <c r="G151" s="22">
        <v>592.31799999999998</v>
      </c>
      <c r="H151" s="23">
        <v>507.66800000000001</v>
      </c>
      <c r="I151" s="22">
        <v>3.056</v>
      </c>
      <c r="J151" s="23">
        <v>0.94199999999999995</v>
      </c>
      <c r="K151" s="22">
        <v>399.19499999999999</v>
      </c>
      <c r="L151" s="23">
        <v>385.02199999999999</v>
      </c>
      <c r="M151" s="22">
        <v>55.027999999999999</v>
      </c>
      <c r="N151" s="415"/>
      <c r="O151" s="367"/>
      <c r="P151" s="368"/>
    </row>
    <row r="152" spans="3:16" x14ac:dyDescent="0.2">
      <c r="C152" s="366">
        <f t="shared" si="10"/>
        <v>136</v>
      </c>
      <c r="D152" s="18" t="s">
        <v>279</v>
      </c>
      <c r="E152" s="22">
        <f t="shared" si="11"/>
        <v>498.60199999999998</v>
      </c>
      <c r="F152" s="23">
        <f t="shared" si="12"/>
        <v>403.28999999999996</v>
      </c>
      <c r="G152" s="22">
        <v>307.49200000000002</v>
      </c>
      <c r="H152" s="23">
        <v>236.78100000000001</v>
      </c>
      <c r="I152" s="22">
        <v>7.774</v>
      </c>
      <c r="J152" s="23">
        <v>4.202</v>
      </c>
      <c r="K152" s="22">
        <v>167.816</v>
      </c>
      <c r="L152" s="23">
        <v>162.30699999999999</v>
      </c>
      <c r="M152" s="22">
        <v>15.52</v>
      </c>
      <c r="N152" s="415"/>
      <c r="O152" s="367"/>
      <c r="P152" s="368"/>
    </row>
    <row r="153" spans="3:16" x14ac:dyDescent="0.2">
      <c r="C153" s="366">
        <f t="shared" si="10"/>
        <v>137</v>
      </c>
      <c r="D153" s="18" t="s">
        <v>280</v>
      </c>
      <c r="E153" s="22">
        <f t="shared" si="11"/>
        <v>849.19900000000007</v>
      </c>
      <c r="F153" s="23">
        <f t="shared" si="12"/>
        <v>718.13499999999999</v>
      </c>
      <c r="G153" s="22">
        <v>455.21</v>
      </c>
      <c r="H153" s="23">
        <v>385.65199999999999</v>
      </c>
      <c r="I153" s="22">
        <v>0.70399999999999996</v>
      </c>
      <c r="J153" s="23">
        <v>0.10199999999999999</v>
      </c>
      <c r="K153" s="22">
        <v>345.28500000000003</v>
      </c>
      <c r="L153" s="23">
        <v>332.38099999999997</v>
      </c>
      <c r="M153" s="22">
        <v>48</v>
      </c>
      <c r="N153" s="415"/>
      <c r="O153" s="367"/>
      <c r="P153" s="368"/>
    </row>
    <row r="154" spans="3:16" x14ac:dyDescent="0.2">
      <c r="C154" s="366">
        <f t="shared" si="10"/>
        <v>138</v>
      </c>
      <c r="D154" s="429" t="s">
        <v>281</v>
      </c>
      <c r="E154" s="22">
        <f t="shared" si="11"/>
        <v>433.86700000000002</v>
      </c>
      <c r="F154" s="23">
        <f t="shared" si="12"/>
        <v>361.24099999999999</v>
      </c>
      <c r="G154" s="22">
        <v>217.37100000000001</v>
      </c>
      <c r="H154" s="23">
        <v>163.196</v>
      </c>
      <c r="I154" s="13"/>
      <c r="J154" s="25"/>
      <c r="K154" s="22">
        <v>203.29599999999999</v>
      </c>
      <c r="L154" s="23">
        <v>198.04499999999999</v>
      </c>
      <c r="M154" s="22">
        <v>13.2</v>
      </c>
      <c r="N154" s="415"/>
      <c r="O154" s="367"/>
      <c r="P154" s="368"/>
    </row>
    <row r="155" spans="3:16" x14ac:dyDescent="0.2">
      <c r="C155" s="366">
        <f t="shared" si="10"/>
        <v>139</v>
      </c>
      <c r="D155" s="18" t="s">
        <v>282</v>
      </c>
      <c r="E155" s="22">
        <f t="shared" si="11"/>
        <v>1148.9089999999999</v>
      </c>
      <c r="F155" s="23">
        <f t="shared" si="12"/>
        <v>975.38300000000004</v>
      </c>
      <c r="G155" s="22">
        <v>661.68700000000001</v>
      </c>
      <c r="H155" s="23">
        <v>564.96600000000001</v>
      </c>
      <c r="I155" s="13"/>
      <c r="J155" s="25"/>
      <c r="K155" s="22">
        <v>423.62200000000001</v>
      </c>
      <c r="L155" s="23">
        <v>410.41699999999997</v>
      </c>
      <c r="M155" s="22">
        <v>63.6</v>
      </c>
      <c r="N155" s="415"/>
      <c r="O155" s="367"/>
      <c r="P155" s="368"/>
    </row>
    <row r="156" spans="3:16" x14ac:dyDescent="0.2">
      <c r="C156" s="366">
        <f t="shared" si="10"/>
        <v>140</v>
      </c>
      <c r="D156" s="18" t="s">
        <v>18</v>
      </c>
      <c r="E156" s="22">
        <f t="shared" si="11"/>
        <v>1201.9549999999999</v>
      </c>
      <c r="F156" s="23">
        <f t="shared" si="12"/>
        <v>1086.002</v>
      </c>
      <c r="G156" s="22">
        <v>321.59899999999999</v>
      </c>
      <c r="H156" s="23">
        <v>251.923</v>
      </c>
      <c r="I156" s="22"/>
      <c r="J156" s="23"/>
      <c r="K156" s="22">
        <v>865.05600000000004</v>
      </c>
      <c r="L156" s="23">
        <v>834.07899999999995</v>
      </c>
      <c r="M156" s="22">
        <v>15.3</v>
      </c>
      <c r="N156" s="415"/>
      <c r="O156" s="367"/>
      <c r="P156" s="368"/>
    </row>
    <row r="157" spans="3:16" ht="24" customHeight="1" x14ac:dyDescent="0.2">
      <c r="C157" s="366">
        <f t="shared" si="10"/>
        <v>141</v>
      </c>
      <c r="D157" s="430" t="s">
        <v>550</v>
      </c>
      <c r="E157" s="22">
        <f t="shared" si="11"/>
        <v>161.488</v>
      </c>
      <c r="F157" s="23">
        <f t="shared" si="12"/>
        <v>148.828</v>
      </c>
      <c r="G157" s="22">
        <v>67.626999999999995</v>
      </c>
      <c r="H157" s="23">
        <v>62.917000000000002</v>
      </c>
      <c r="I157" s="13"/>
      <c r="J157" s="25"/>
      <c r="K157" s="22">
        <v>88.460999999999999</v>
      </c>
      <c r="L157" s="23">
        <v>85.911000000000001</v>
      </c>
      <c r="M157" s="22">
        <v>5.4</v>
      </c>
      <c r="N157" s="415"/>
      <c r="O157" s="367"/>
      <c r="P157" s="368"/>
    </row>
    <row r="158" spans="3:16" ht="14.25" customHeight="1" x14ac:dyDescent="0.2">
      <c r="C158" s="366">
        <f t="shared" si="10"/>
        <v>142</v>
      </c>
      <c r="D158" s="18" t="s">
        <v>287</v>
      </c>
      <c r="E158" s="22">
        <f t="shared" si="11"/>
        <v>2286.739</v>
      </c>
      <c r="F158" s="23">
        <f t="shared" si="12"/>
        <v>1988.8720000000001</v>
      </c>
      <c r="G158" s="22">
        <v>822.91499999999996</v>
      </c>
      <c r="H158" s="23">
        <v>644.68100000000004</v>
      </c>
      <c r="I158" s="13"/>
      <c r="J158" s="25"/>
      <c r="K158" s="22">
        <v>1389.8240000000001</v>
      </c>
      <c r="L158" s="23">
        <v>1344.191</v>
      </c>
      <c r="M158" s="22">
        <v>74</v>
      </c>
      <c r="N158" s="415"/>
      <c r="O158" s="367"/>
      <c r="P158" s="368"/>
    </row>
    <row r="159" spans="3:16" ht="25.5" x14ac:dyDescent="0.2">
      <c r="C159" s="366">
        <f t="shared" si="10"/>
        <v>143</v>
      </c>
      <c r="D159" s="27" t="s">
        <v>551</v>
      </c>
      <c r="E159" s="22">
        <f t="shared" si="11"/>
        <v>276.35300000000001</v>
      </c>
      <c r="F159" s="23">
        <f t="shared" si="12"/>
        <v>267.7</v>
      </c>
      <c r="G159" s="22">
        <v>14.182</v>
      </c>
      <c r="H159" s="23">
        <v>13.978999999999999</v>
      </c>
      <c r="I159" s="13"/>
      <c r="J159" s="25"/>
      <c r="K159" s="22">
        <v>262.17099999999999</v>
      </c>
      <c r="L159" s="23">
        <v>253.721</v>
      </c>
      <c r="M159" s="22"/>
      <c r="N159" s="415"/>
      <c r="O159" s="367"/>
      <c r="P159" s="368"/>
    </row>
    <row r="160" spans="3:16" ht="24" customHeight="1" x14ac:dyDescent="0.2">
      <c r="C160" s="366">
        <f t="shared" si="10"/>
        <v>144</v>
      </c>
      <c r="D160" s="27" t="s">
        <v>552</v>
      </c>
      <c r="E160" s="22">
        <f t="shared" si="11"/>
        <v>15.612</v>
      </c>
      <c r="F160" s="23">
        <f t="shared" si="12"/>
        <v>14.1</v>
      </c>
      <c r="G160" s="22"/>
      <c r="H160" s="23"/>
      <c r="I160" s="22">
        <v>0.8</v>
      </c>
      <c r="J160" s="23"/>
      <c r="K160" s="22">
        <v>14.811999999999999</v>
      </c>
      <c r="L160" s="23">
        <v>14.1</v>
      </c>
      <c r="M160" s="22"/>
      <c r="N160" s="415"/>
      <c r="O160" s="367"/>
      <c r="P160" s="368"/>
    </row>
    <row r="161" spans="3:16" x14ac:dyDescent="0.2">
      <c r="C161" s="366">
        <f t="shared" si="10"/>
        <v>145</v>
      </c>
      <c r="D161" s="18" t="s">
        <v>102</v>
      </c>
      <c r="E161" s="22">
        <f t="shared" si="11"/>
        <v>2051.1109999999999</v>
      </c>
      <c r="F161" s="23">
        <f t="shared" si="12"/>
        <v>1813.165</v>
      </c>
      <c r="G161" s="22">
        <v>605.13599999999997</v>
      </c>
      <c r="H161" s="23">
        <v>449.06700000000001</v>
      </c>
      <c r="I161" s="22">
        <v>11.16</v>
      </c>
      <c r="J161" s="23">
        <v>10.999000000000001</v>
      </c>
      <c r="K161" s="22">
        <v>1405.8150000000001</v>
      </c>
      <c r="L161" s="23">
        <v>1353.0989999999999</v>
      </c>
      <c r="M161" s="22">
        <v>29</v>
      </c>
      <c r="N161" s="415"/>
      <c r="O161" s="367"/>
      <c r="P161" s="368"/>
    </row>
    <row r="162" spans="3:16" x14ac:dyDescent="0.2">
      <c r="C162" s="366">
        <f t="shared" si="10"/>
        <v>146</v>
      </c>
      <c r="D162" s="18" t="s">
        <v>20</v>
      </c>
      <c r="E162" s="22">
        <f t="shared" si="11"/>
        <v>1200.982</v>
      </c>
      <c r="F162" s="23">
        <f t="shared" si="12"/>
        <v>1017.313</v>
      </c>
      <c r="G162" s="22">
        <v>481.31099999999998</v>
      </c>
      <c r="H162" s="23">
        <v>341.05099999999999</v>
      </c>
      <c r="I162" s="22">
        <v>2.48</v>
      </c>
      <c r="J162" s="23">
        <v>2.444</v>
      </c>
      <c r="K162" s="22">
        <v>697.19100000000003</v>
      </c>
      <c r="L162" s="23">
        <v>673.81799999999998</v>
      </c>
      <c r="M162" s="22">
        <v>20</v>
      </c>
      <c r="N162" s="415"/>
      <c r="O162" s="367"/>
      <c r="P162" s="368"/>
    </row>
    <row r="163" spans="3:16" x14ac:dyDescent="0.2">
      <c r="C163" s="366">
        <f t="shared" si="10"/>
        <v>147</v>
      </c>
      <c r="D163" s="18" t="s">
        <v>103</v>
      </c>
      <c r="E163" s="22">
        <f>G163+I163+K163+M163</f>
        <v>75.569000000000003</v>
      </c>
      <c r="F163" s="23">
        <f>H163+J163+L163+N163</f>
        <v>68.942000000000007</v>
      </c>
      <c r="G163" s="22">
        <v>69.569000000000003</v>
      </c>
      <c r="H163" s="23">
        <v>67.742000000000004</v>
      </c>
      <c r="I163" s="13"/>
      <c r="J163" s="25"/>
      <c r="K163" s="22"/>
      <c r="L163" s="23"/>
      <c r="M163" s="22">
        <v>6</v>
      </c>
      <c r="N163" s="415">
        <v>1.2</v>
      </c>
      <c r="O163" s="367"/>
      <c r="P163" s="368"/>
    </row>
    <row r="164" spans="3:16" x14ac:dyDescent="0.2">
      <c r="C164" s="366">
        <f t="shared" si="10"/>
        <v>148</v>
      </c>
      <c r="D164" s="18" t="s">
        <v>289</v>
      </c>
      <c r="E164" s="22">
        <f t="shared" ref="E164:F167" si="13">+G164+I164+K164+M164</f>
        <v>1219.8830000000003</v>
      </c>
      <c r="F164" s="23">
        <f t="shared" si="13"/>
        <v>990.82799999999997</v>
      </c>
      <c r="G164" s="22">
        <v>544.02700000000004</v>
      </c>
      <c r="H164" s="23">
        <v>350.89699999999999</v>
      </c>
      <c r="I164" s="22">
        <v>1.24</v>
      </c>
      <c r="J164" s="23">
        <v>1.222</v>
      </c>
      <c r="K164" s="22">
        <v>661.21600000000001</v>
      </c>
      <c r="L164" s="23">
        <v>638.70899999999995</v>
      </c>
      <c r="M164" s="22">
        <v>13.4</v>
      </c>
      <c r="N164" s="415"/>
      <c r="O164" s="367"/>
      <c r="P164" s="368"/>
    </row>
    <row r="165" spans="3:16" x14ac:dyDescent="0.2">
      <c r="C165" s="366">
        <f t="shared" si="10"/>
        <v>149</v>
      </c>
      <c r="D165" s="429" t="s">
        <v>290</v>
      </c>
      <c r="E165" s="22">
        <f t="shared" si="13"/>
        <v>539.16500000000008</v>
      </c>
      <c r="F165" s="23">
        <f t="shared" si="13"/>
        <v>432.61400000000003</v>
      </c>
      <c r="G165" s="22">
        <v>270.06700000000001</v>
      </c>
      <c r="H165" s="23">
        <v>181.32900000000001</v>
      </c>
      <c r="I165" s="22">
        <v>6.3719999999999999</v>
      </c>
      <c r="J165" s="25"/>
      <c r="K165" s="22">
        <v>258.12599999999998</v>
      </c>
      <c r="L165" s="23">
        <v>251.285</v>
      </c>
      <c r="M165" s="22">
        <v>4.5999999999999996</v>
      </c>
      <c r="N165" s="415"/>
      <c r="O165" s="367"/>
      <c r="P165" s="368"/>
    </row>
    <row r="166" spans="3:16" x14ac:dyDescent="0.2">
      <c r="C166" s="366">
        <f t="shared" si="10"/>
        <v>150</v>
      </c>
      <c r="D166" s="431" t="s">
        <v>553</v>
      </c>
      <c r="E166" s="22">
        <f t="shared" si="13"/>
        <v>337.84499999999997</v>
      </c>
      <c r="F166" s="23">
        <f t="shared" si="13"/>
        <v>260.43399999999997</v>
      </c>
      <c r="G166" s="22">
        <v>208.43600000000001</v>
      </c>
      <c r="H166" s="23">
        <v>147.32</v>
      </c>
      <c r="I166" s="13"/>
      <c r="J166" s="25"/>
      <c r="K166" s="22">
        <v>116.709</v>
      </c>
      <c r="L166" s="23">
        <v>113.114</v>
      </c>
      <c r="M166" s="22">
        <v>12.7</v>
      </c>
      <c r="N166" s="415"/>
      <c r="O166" s="367"/>
      <c r="P166" s="368"/>
    </row>
    <row r="167" spans="3:16" x14ac:dyDescent="0.2">
      <c r="C167" s="366">
        <f t="shared" si="10"/>
        <v>151</v>
      </c>
      <c r="D167" s="18" t="s">
        <v>105</v>
      </c>
      <c r="E167" s="22">
        <f t="shared" si="13"/>
        <v>70.415000000000006</v>
      </c>
      <c r="F167" s="23">
        <f t="shared" si="13"/>
        <v>66.643999999999991</v>
      </c>
      <c r="G167" s="22">
        <v>68.215000000000003</v>
      </c>
      <c r="H167" s="23">
        <v>66.203999999999994</v>
      </c>
      <c r="I167" s="13"/>
      <c r="J167" s="25"/>
      <c r="K167" s="22"/>
      <c r="L167" s="23"/>
      <c r="M167" s="22">
        <v>2.2000000000000002</v>
      </c>
      <c r="N167" s="415">
        <v>0.44</v>
      </c>
      <c r="O167" s="367"/>
      <c r="P167" s="368"/>
    </row>
    <row r="168" spans="3:16" x14ac:dyDescent="0.2">
      <c r="C168" s="366">
        <f t="shared" si="10"/>
        <v>152</v>
      </c>
      <c r="D168" s="18" t="s">
        <v>22</v>
      </c>
      <c r="E168" s="22">
        <f>G168+I168+K168+M168</f>
        <v>977.43299999999999</v>
      </c>
      <c r="F168" s="23">
        <f>H168+J168+L168+N168</f>
        <v>840.38900000000001</v>
      </c>
      <c r="G168" s="22">
        <v>345.54</v>
      </c>
      <c r="H168" s="23">
        <v>245.52500000000001</v>
      </c>
      <c r="I168" s="13"/>
      <c r="J168" s="25"/>
      <c r="K168" s="22">
        <v>613.89300000000003</v>
      </c>
      <c r="L168" s="23">
        <v>594.86400000000003</v>
      </c>
      <c r="M168" s="22">
        <v>18</v>
      </c>
      <c r="N168" s="415"/>
      <c r="O168" s="367"/>
      <c r="P168" s="368"/>
    </row>
    <row r="169" spans="3:16" x14ac:dyDescent="0.2">
      <c r="C169" s="366">
        <f t="shared" si="10"/>
        <v>153</v>
      </c>
      <c r="D169" s="429" t="s">
        <v>683</v>
      </c>
      <c r="E169" s="22">
        <f>+G169+I169+K169+M169</f>
        <v>355.36199999999997</v>
      </c>
      <c r="F169" s="23">
        <f>+H169+J169+L169+N169</f>
        <v>294.09000000000003</v>
      </c>
      <c r="G169" s="22">
        <v>205.738</v>
      </c>
      <c r="H169" s="23">
        <v>166.25200000000001</v>
      </c>
      <c r="I169" s="22">
        <v>9.1820000000000004</v>
      </c>
      <c r="J169" s="23">
        <v>4.4080000000000004</v>
      </c>
      <c r="K169" s="22">
        <v>127.622</v>
      </c>
      <c r="L169" s="23">
        <v>123.43</v>
      </c>
      <c r="M169" s="22">
        <v>12.82</v>
      </c>
      <c r="N169" s="415"/>
      <c r="O169" s="367"/>
      <c r="P169" s="368"/>
    </row>
    <row r="170" spans="3:16" x14ac:dyDescent="0.2">
      <c r="C170" s="366">
        <f t="shared" si="10"/>
        <v>154</v>
      </c>
      <c r="D170" s="18" t="s">
        <v>106</v>
      </c>
      <c r="E170" s="22">
        <f>G170+I170+K170+M170</f>
        <v>61.454000000000001</v>
      </c>
      <c r="F170" s="23">
        <f>H170+J170+L170+N170</f>
        <v>57.839000000000006</v>
      </c>
      <c r="G170" s="22">
        <v>58.853999999999999</v>
      </c>
      <c r="H170" s="23">
        <v>57.319000000000003</v>
      </c>
      <c r="I170" s="13"/>
      <c r="J170" s="25"/>
      <c r="K170" s="22"/>
      <c r="L170" s="23"/>
      <c r="M170" s="22">
        <v>2.6</v>
      </c>
      <c r="N170" s="415">
        <v>0.52</v>
      </c>
      <c r="O170" s="367"/>
      <c r="P170" s="368"/>
    </row>
    <row r="171" spans="3:16" x14ac:dyDescent="0.2">
      <c r="C171" s="366">
        <f t="shared" si="10"/>
        <v>155</v>
      </c>
      <c r="D171" s="18" t="s">
        <v>107</v>
      </c>
      <c r="E171" s="22">
        <f t="shared" ref="E171:E181" si="14">+G171+I171+K171+M171</f>
        <v>1336.0149999999999</v>
      </c>
      <c r="F171" s="23">
        <f t="shared" ref="F171:F182" si="15">+H171+J171+L171+N171</f>
        <v>1064.2269999999999</v>
      </c>
      <c r="G171" s="22">
        <v>621.63099999999997</v>
      </c>
      <c r="H171" s="23">
        <v>392.15499999999997</v>
      </c>
      <c r="I171" s="13"/>
      <c r="J171" s="25"/>
      <c r="K171" s="22">
        <v>695.38400000000001</v>
      </c>
      <c r="L171" s="23">
        <v>672.072</v>
      </c>
      <c r="M171" s="22">
        <v>19</v>
      </c>
      <c r="N171" s="415"/>
      <c r="O171" s="367"/>
      <c r="P171" s="368"/>
    </row>
    <row r="172" spans="3:16" s="171" customFormat="1" x14ac:dyDescent="0.2">
      <c r="C172" s="366">
        <f t="shared" si="10"/>
        <v>156</v>
      </c>
      <c r="D172" s="18" t="s">
        <v>34</v>
      </c>
      <c r="E172" s="22">
        <f t="shared" si="14"/>
        <v>564.57399999999996</v>
      </c>
      <c r="F172" s="23">
        <f t="shared" si="15"/>
        <v>489.80900000000003</v>
      </c>
      <c r="G172" s="22">
        <v>120.227</v>
      </c>
      <c r="H172" s="23">
        <v>92.34</v>
      </c>
      <c r="I172" s="22">
        <v>134.9</v>
      </c>
      <c r="J172" s="23">
        <v>100.893</v>
      </c>
      <c r="K172" s="22">
        <v>302.34699999999998</v>
      </c>
      <c r="L172" s="23">
        <v>296.57600000000002</v>
      </c>
      <c r="M172" s="22">
        <v>7.1</v>
      </c>
      <c r="N172" s="415"/>
      <c r="O172" s="367"/>
      <c r="P172" s="368"/>
    </row>
    <row r="173" spans="3:16" x14ac:dyDescent="0.2">
      <c r="C173" s="366">
        <f t="shared" si="10"/>
        <v>157</v>
      </c>
      <c r="D173" s="18" t="s">
        <v>108</v>
      </c>
      <c r="E173" s="22">
        <f t="shared" si="14"/>
        <v>663.16399999999999</v>
      </c>
      <c r="F173" s="23">
        <f t="shared" si="15"/>
        <v>603.60699999999997</v>
      </c>
      <c r="G173" s="22">
        <v>598.16399999999999</v>
      </c>
      <c r="H173" s="23">
        <v>566.06399999999996</v>
      </c>
      <c r="I173" s="13"/>
      <c r="J173" s="25"/>
      <c r="K173" s="22">
        <v>32</v>
      </c>
      <c r="L173" s="23">
        <v>31.542999999999999</v>
      </c>
      <c r="M173" s="22">
        <v>33</v>
      </c>
      <c r="N173" s="415">
        <v>6</v>
      </c>
      <c r="O173" s="367"/>
      <c r="P173" s="368"/>
    </row>
    <row r="174" spans="3:16" x14ac:dyDescent="0.2">
      <c r="C174" s="366">
        <f t="shared" si="10"/>
        <v>158</v>
      </c>
      <c r="D174" s="18" t="s">
        <v>256</v>
      </c>
      <c r="E174" s="22">
        <f t="shared" si="14"/>
        <v>233.506</v>
      </c>
      <c r="F174" s="23">
        <f t="shared" si="15"/>
        <v>210.44300000000001</v>
      </c>
      <c r="G174" s="22">
        <v>200.506</v>
      </c>
      <c r="H174" s="23">
        <v>189.96</v>
      </c>
      <c r="I174" s="13"/>
      <c r="J174" s="25"/>
      <c r="K174" s="22">
        <v>18</v>
      </c>
      <c r="L174" s="23">
        <v>17.742999999999999</v>
      </c>
      <c r="M174" s="22">
        <v>15</v>
      </c>
      <c r="N174" s="415">
        <v>2.74</v>
      </c>
      <c r="O174" s="367"/>
      <c r="P174" s="368"/>
    </row>
    <row r="175" spans="3:16" x14ac:dyDescent="0.2">
      <c r="C175" s="366">
        <f t="shared" si="10"/>
        <v>159</v>
      </c>
      <c r="D175" s="429" t="s">
        <v>255</v>
      </c>
      <c r="E175" s="22">
        <f t="shared" si="14"/>
        <v>328.13</v>
      </c>
      <c r="F175" s="23">
        <f t="shared" si="15"/>
        <v>279.78499999999997</v>
      </c>
      <c r="G175" s="22">
        <v>302.548</v>
      </c>
      <c r="H175" s="23">
        <v>267.40499999999997</v>
      </c>
      <c r="I175" s="13"/>
      <c r="J175" s="25"/>
      <c r="K175" s="22">
        <v>11.282</v>
      </c>
      <c r="L175" s="23">
        <v>11.12</v>
      </c>
      <c r="M175" s="22">
        <v>14.3</v>
      </c>
      <c r="N175" s="415">
        <v>1.26</v>
      </c>
      <c r="O175" s="367"/>
      <c r="P175" s="368"/>
    </row>
    <row r="176" spans="3:16" x14ac:dyDescent="0.2">
      <c r="C176" s="366">
        <f t="shared" si="10"/>
        <v>160</v>
      </c>
      <c r="D176" s="18" t="s">
        <v>23</v>
      </c>
      <c r="E176" s="370">
        <f t="shared" si="14"/>
        <v>236.97593000000001</v>
      </c>
      <c r="F176" s="432">
        <f t="shared" si="15"/>
        <v>197.92099999999999</v>
      </c>
      <c r="G176" s="370">
        <v>167.54477</v>
      </c>
      <c r="H176" s="432">
        <v>152.65683999999999</v>
      </c>
      <c r="I176" s="376"/>
      <c r="J176" s="404"/>
      <c r="K176" s="370">
        <v>45.823160000000001</v>
      </c>
      <c r="L176" s="432">
        <v>45.264159999999997</v>
      </c>
      <c r="M176" s="370">
        <v>23.608000000000001</v>
      </c>
      <c r="N176" s="415"/>
      <c r="O176" s="367"/>
      <c r="P176" s="368"/>
    </row>
    <row r="177" spans="3:19" x14ac:dyDescent="0.2">
      <c r="C177" s="366">
        <f t="shared" si="10"/>
        <v>161</v>
      </c>
      <c r="D177" s="27" t="s">
        <v>664</v>
      </c>
      <c r="E177" s="419">
        <f t="shared" si="14"/>
        <v>0</v>
      </c>
      <c r="F177" s="372">
        <f t="shared" si="15"/>
        <v>0</v>
      </c>
      <c r="G177" s="419">
        <v>0</v>
      </c>
      <c r="H177" s="372">
        <v>0</v>
      </c>
      <c r="I177" s="405"/>
      <c r="J177" s="408"/>
      <c r="K177" s="419">
        <v>0</v>
      </c>
      <c r="L177" s="372">
        <v>0</v>
      </c>
      <c r="M177" s="419">
        <v>0</v>
      </c>
      <c r="N177" s="371"/>
      <c r="O177" s="411"/>
      <c r="P177" s="412"/>
    </row>
    <row r="178" spans="3:19" x14ac:dyDescent="0.2">
      <c r="C178" s="366">
        <f t="shared" si="10"/>
        <v>162</v>
      </c>
      <c r="D178" s="18" t="s">
        <v>24</v>
      </c>
      <c r="E178" s="370">
        <f t="shared" si="14"/>
        <v>113.13807</v>
      </c>
      <c r="F178" s="432">
        <f t="shared" si="15"/>
        <v>91.94</v>
      </c>
      <c r="G178" s="370">
        <v>41.150230000000001</v>
      </c>
      <c r="H178" s="432">
        <v>27.488160000000001</v>
      </c>
      <c r="I178" s="376"/>
      <c r="J178" s="404"/>
      <c r="K178" s="370">
        <v>71.595839999999995</v>
      </c>
      <c r="L178" s="432">
        <v>64.451840000000004</v>
      </c>
      <c r="M178" s="22">
        <v>0.39200000000000002</v>
      </c>
      <c r="N178" s="415"/>
      <c r="O178" s="367"/>
      <c r="P178" s="368"/>
      <c r="S178">
        <v>0</v>
      </c>
    </row>
    <row r="179" spans="3:19" x14ac:dyDescent="0.2">
      <c r="C179" s="366">
        <f t="shared" si="10"/>
        <v>163</v>
      </c>
      <c r="D179" s="35" t="s">
        <v>109</v>
      </c>
      <c r="E179" s="22">
        <f t="shared" si="14"/>
        <v>576.02099999999996</v>
      </c>
      <c r="F179" s="23">
        <f t="shared" si="15"/>
        <v>464.73600000000005</v>
      </c>
      <c r="G179" s="39">
        <v>428.72399999999999</v>
      </c>
      <c r="H179" s="40">
        <v>348.05200000000002</v>
      </c>
      <c r="I179" s="433">
        <v>7.774</v>
      </c>
      <c r="J179" s="434">
        <v>4.202</v>
      </c>
      <c r="K179" s="22">
        <v>115.303</v>
      </c>
      <c r="L179" s="23">
        <v>111.40600000000001</v>
      </c>
      <c r="M179" s="22">
        <v>24.22</v>
      </c>
      <c r="N179" s="415">
        <v>1.0760000000000001</v>
      </c>
      <c r="O179" s="367"/>
      <c r="P179" s="368"/>
    </row>
    <row r="180" spans="3:19" ht="15" customHeight="1" thickBot="1" x14ac:dyDescent="0.25">
      <c r="C180" s="366">
        <f t="shared" si="10"/>
        <v>164</v>
      </c>
      <c r="D180" s="35" t="s">
        <v>153</v>
      </c>
      <c r="E180" s="39">
        <f t="shared" si="14"/>
        <v>411.71600000000001</v>
      </c>
      <c r="F180" s="40">
        <f t="shared" si="15"/>
        <v>348.37300000000005</v>
      </c>
      <c r="G180" s="39">
        <v>332.21199999999999</v>
      </c>
      <c r="H180" s="40">
        <v>281.327</v>
      </c>
      <c r="I180" s="39">
        <v>8.2010000000000005</v>
      </c>
      <c r="J180" s="40">
        <v>4.0999999999999996</v>
      </c>
      <c r="K180" s="39">
        <v>65.302999999999997</v>
      </c>
      <c r="L180" s="40">
        <v>62.945999999999998</v>
      </c>
      <c r="M180" s="435">
        <v>6</v>
      </c>
      <c r="N180" s="436"/>
      <c r="O180" s="437"/>
      <c r="P180" s="438"/>
    </row>
    <row r="181" spans="3:19" ht="13.5" hidden="1" customHeight="1" thickBot="1" x14ac:dyDescent="0.25">
      <c r="C181" s="439">
        <f t="shared" si="10"/>
        <v>165</v>
      </c>
      <c r="D181" s="440" t="s">
        <v>291</v>
      </c>
      <c r="E181" s="441">
        <f t="shared" si="14"/>
        <v>19936.309000000001</v>
      </c>
      <c r="F181" s="442">
        <f t="shared" si="15"/>
        <v>17025.093000000001</v>
      </c>
      <c r="G181" s="441">
        <f>SUM(G150:G180)</f>
        <v>9546.362000000001</v>
      </c>
      <c r="H181" s="441">
        <f t="shared" ref="H181:N181" si="16">SUM(H150:H180)</f>
        <v>7591.0319999999992</v>
      </c>
      <c r="I181" s="441">
        <f t="shared" si="16"/>
        <v>196.459</v>
      </c>
      <c r="J181" s="441">
        <f>SUM(J150:J180)</f>
        <v>133.92400000000001</v>
      </c>
      <c r="K181" s="441">
        <f t="shared" si="16"/>
        <v>9610.4999999999982</v>
      </c>
      <c r="L181" s="441">
        <f t="shared" si="16"/>
        <v>9286.9010000000017</v>
      </c>
      <c r="M181" s="441">
        <f t="shared" si="16"/>
        <v>582.98800000000006</v>
      </c>
      <c r="N181" s="100">
        <f t="shared" si="16"/>
        <v>13.236000000000001</v>
      </c>
      <c r="O181" s="443"/>
      <c r="P181" s="444"/>
    </row>
    <row r="182" spans="3:19" ht="13.5" thickBot="1" x14ac:dyDescent="0.25">
      <c r="C182" s="445">
        <f t="shared" si="10"/>
        <v>166</v>
      </c>
      <c r="D182" s="168" t="s">
        <v>39</v>
      </c>
      <c r="E182" s="446">
        <f>+G182+I182+K182+M182+O182</f>
        <v>53409.175320000002</v>
      </c>
      <c r="F182" s="58">
        <f t="shared" si="15"/>
        <v>29345.34</v>
      </c>
      <c r="G182" s="65">
        <f>G149+G181</f>
        <v>29804.550000000003</v>
      </c>
      <c r="H182" s="58">
        <f>H149+H181</f>
        <v>17042.659</v>
      </c>
      <c r="I182" s="446">
        <f>I149+I181</f>
        <v>12032.093320000002</v>
      </c>
      <c r="J182" s="58">
        <f>J149+J181</f>
        <v>2658.6400000000003</v>
      </c>
      <c r="K182" s="57">
        <f>K181+K149</f>
        <v>9619.4999999999982</v>
      </c>
      <c r="L182" s="57">
        <f>L181+L149</f>
        <v>9295.7720000000008</v>
      </c>
      <c r="M182" s="57">
        <f>M149+M181</f>
        <v>1528.973</v>
      </c>
      <c r="N182" s="56">
        <f>N149+N181</f>
        <v>348.26900000000001</v>
      </c>
      <c r="O182" s="57">
        <f t="shared" ref="O182" si="17">O149+O181</f>
        <v>424.05900000000003</v>
      </c>
      <c r="P182" s="58"/>
    </row>
    <row r="183" spans="3:19" x14ac:dyDescent="0.2">
      <c r="C183" s="305"/>
      <c r="D183" s="170"/>
      <c r="E183" s="170"/>
      <c r="F183" s="170"/>
      <c r="G183" s="170"/>
      <c r="H183" s="170"/>
      <c r="I183" s="170"/>
      <c r="J183" s="170"/>
      <c r="K183" s="170"/>
      <c r="L183" s="170"/>
      <c r="M183" s="170"/>
      <c r="N183" s="170"/>
      <c r="O183" s="170"/>
      <c r="P183" s="170"/>
    </row>
    <row r="184" spans="3:19" x14ac:dyDescent="0.2">
      <c r="C184" s="306"/>
      <c r="D184" s="170"/>
      <c r="E184" s="170"/>
      <c r="F184" s="170"/>
      <c r="G184" s="225"/>
      <c r="H184" s="170"/>
      <c r="I184" s="226"/>
      <c r="J184" s="170"/>
      <c r="K184" s="170"/>
      <c r="L184" s="170"/>
      <c r="M184" s="170"/>
      <c r="N184" s="170"/>
      <c r="O184" s="170"/>
      <c r="P184" s="170"/>
    </row>
    <row r="185" spans="3:19" x14ac:dyDescent="0.2">
      <c r="C185" s="306"/>
      <c r="D185" s="223" t="s">
        <v>629</v>
      </c>
      <c r="E185" s="170"/>
      <c r="F185" s="226"/>
      <c r="G185" s="170"/>
      <c r="H185" s="170"/>
      <c r="I185" s="170"/>
      <c r="J185" s="225"/>
      <c r="K185" s="170"/>
      <c r="L185" s="170"/>
      <c r="M185" s="170"/>
      <c r="N185" s="170"/>
      <c r="O185" s="170"/>
      <c r="P185" s="170"/>
    </row>
    <row r="186" spans="3:19" x14ac:dyDescent="0.2">
      <c r="C186" s="203"/>
      <c r="D186" s="227" t="s">
        <v>630</v>
      </c>
      <c r="E186" s="170"/>
      <c r="F186" s="170"/>
      <c r="G186" s="226"/>
      <c r="H186" s="170"/>
      <c r="I186" s="170"/>
      <c r="J186" s="170"/>
      <c r="K186" s="170"/>
      <c r="L186" s="170"/>
      <c r="M186" s="170"/>
      <c r="N186" s="170"/>
      <c r="O186" s="170"/>
      <c r="P186" s="170"/>
    </row>
    <row r="187" spans="3:19" x14ac:dyDescent="0.2">
      <c r="C187" s="203"/>
      <c r="D187" s="228" t="s">
        <v>631</v>
      </c>
      <c r="E187" s="170"/>
      <c r="F187" s="170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</row>
    <row r="188" spans="3:19" x14ac:dyDescent="0.2">
      <c r="D188" s="223" t="s">
        <v>632</v>
      </c>
      <c r="E188" s="170"/>
      <c r="F188" s="170"/>
      <c r="G188" s="225"/>
      <c r="H188" s="170"/>
      <c r="I188" s="170"/>
      <c r="J188" s="170"/>
      <c r="K188" s="170"/>
      <c r="L188" s="170"/>
      <c r="M188" s="170"/>
      <c r="N188" s="170"/>
      <c r="O188" s="170"/>
      <c r="P188" s="170"/>
    </row>
    <row r="189" spans="3:19" x14ac:dyDescent="0.2">
      <c r="D189" s="223" t="s">
        <v>633</v>
      </c>
      <c r="E189" s="170"/>
      <c r="F189" s="170"/>
      <c r="G189" s="170"/>
      <c r="H189" s="170"/>
      <c r="I189" s="170"/>
      <c r="J189" s="170"/>
      <c r="K189" s="170"/>
      <c r="L189" s="170"/>
      <c r="M189" s="170"/>
      <c r="N189" s="170"/>
      <c r="O189" s="170"/>
      <c r="P189" s="170"/>
    </row>
  </sheetData>
  <mergeCells count="14">
    <mergeCell ref="O15:P15"/>
    <mergeCell ref="C15:C16"/>
    <mergeCell ref="D15:D16"/>
    <mergeCell ref="E15:F15"/>
    <mergeCell ref="G2:H2"/>
    <mergeCell ref="D11:J11"/>
    <mergeCell ref="E12:H12"/>
    <mergeCell ref="G15:H15"/>
    <mergeCell ref="I15:J15"/>
    <mergeCell ref="J8:N8"/>
    <mergeCell ref="K9:M9"/>
    <mergeCell ref="K15:L15"/>
    <mergeCell ref="M15:N15"/>
    <mergeCell ref="I7:N7"/>
  </mergeCells>
  <pageMargins left="0.23622047244094491" right="0.23622047244094491" top="0.55118110236220474" bottom="0.19685039370078741" header="0.31496062992125984" footer="0.31496062992125984"/>
  <pageSetup paperSize="9" scale="7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40"/>
  <sheetViews>
    <sheetView topLeftCell="A4" zoomScale="110" zoomScaleNormal="110" workbookViewId="0">
      <pane xSplit="2" ySplit="12" topLeftCell="C226" activePane="bottomRight" state="frozen"/>
      <selection activeCell="A4" sqref="A4"/>
      <selection pane="topRight" activeCell="C4" sqref="C4"/>
      <selection pane="bottomLeft" activeCell="A16" sqref="A16"/>
      <selection pane="bottomRight" activeCell="I4" sqref="I4"/>
    </sheetView>
  </sheetViews>
  <sheetFormatPr defaultRowHeight="15" customHeight="1" x14ac:dyDescent="0.2"/>
  <cols>
    <col min="1" max="1" width="5.7109375" customWidth="1"/>
    <col min="2" max="2" width="58.140625" customWidth="1"/>
    <col min="3" max="4" width="12.7109375" customWidth="1"/>
    <col min="5" max="5" width="10.5703125" customWidth="1"/>
    <col min="6" max="6" width="11.42578125" customWidth="1"/>
    <col min="7" max="7" width="11.7109375" customWidth="1"/>
    <col min="8" max="8" width="11.5703125" customWidth="1"/>
    <col min="9" max="9" width="9.42578125" customWidth="1"/>
    <col min="10" max="10" width="11.42578125" customWidth="1"/>
    <col min="11" max="11" width="8.85546875" customWidth="1"/>
    <col min="12" max="12" width="11.42578125" customWidth="1"/>
    <col min="13" max="13" width="9.5703125" bestFit="1" customWidth="1"/>
    <col min="14" max="14" width="11.28515625" customWidth="1"/>
  </cols>
  <sheetData>
    <row r="1" spans="1:14" ht="18.75" customHeight="1" x14ac:dyDescent="0.2"/>
    <row r="2" spans="1:14" ht="15" customHeight="1" x14ac:dyDescent="0.2">
      <c r="H2" s="7"/>
      <c r="I2" s="7" t="s">
        <v>25</v>
      </c>
      <c r="J2" s="7"/>
      <c r="K2" s="7"/>
      <c r="L2" s="7"/>
      <c r="M2" s="7"/>
    </row>
    <row r="3" spans="1:14" ht="15" customHeight="1" x14ac:dyDescent="0.2">
      <c r="H3" s="7"/>
      <c r="I3" s="7" t="s">
        <v>559</v>
      </c>
      <c r="J3" s="6"/>
      <c r="K3" s="6"/>
      <c r="L3" s="7"/>
      <c r="M3" s="7"/>
    </row>
    <row r="4" spans="1:14" ht="15" customHeight="1" x14ac:dyDescent="0.2">
      <c r="H4" s="7"/>
      <c r="I4" s="7" t="s">
        <v>113</v>
      </c>
      <c r="J4" s="6"/>
      <c r="K4" s="6"/>
      <c r="L4" s="7"/>
      <c r="M4" s="7"/>
    </row>
    <row r="5" spans="1:14" ht="15" customHeight="1" x14ac:dyDescent="0.2">
      <c r="H5" s="827" t="s">
        <v>661</v>
      </c>
      <c r="I5" s="827"/>
      <c r="J5" s="827"/>
      <c r="K5" s="827"/>
      <c r="L5" s="827"/>
      <c r="M5" s="827"/>
    </row>
    <row r="6" spans="1:14" ht="15" customHeight="1" x14ac:dyDescent="0.2">
      <c r="H6" s="827" t="s">
        <v>692</v>
      </c>
      <c r="I6" s="827"/>
      <c r="J6" s="827"/>
      <c r="K6" s="827"/>
      <c r="L6" s="827"/>
      <c r="M6" s="827"/>
    </row>
    <row r="7" spans="1:14" ht="15" customHeight="1" x14ac:dyDescent="0.2">
      <c r="H7" s="827" t="s">
        <v>663</v>
      </c>
      <c r="I7" s="827"/>
      <c r="J7" s="827"/>
      <c r="K7" s="827"/>
      <c r="L7" s="827"/>
      <c r="M7" s="175"/>
    </row>
    <row r="8" spans="1:14" ht="15" customHeight="1" x14ac:dyDescent="0.25">
      <c r="B8" s="3" t="s">
        <v>480</v>
      </c>
      <c r="C8" s="3"/>
      <c r="D8" s="3"/>
      <c r="E8" s="3"/>
      <c r="F8" s="3"/>
      <c r="G8" s="3"/>
    </row>
    <row r="9" spans="1:14" ht="15" customHeight="1" x14ac:dyDescent="0.25">
      <c r="B9" s="3"/>
      <c r="C9" s="3"/>
      <c r="D9" s="3"/>
      <c r="E9" s="3"/>
      <c r="F9" s="3"/>
      <c r="G9" s="3"/>
    </row>
    <row r="13" spans="1:14" ht="15" customHeight="1" thickBot="1" x14ac:dyDescent="0.25">
      <c r="A13" s="171"/>
      <c r="B13" s="171"/>
      <c r="C13" s="171"/>
      <c r="D13" s="171"/>
      <c r="E13" s="171"/>
      <c r="F13" s="171"/>
      <c r="G13" s="171"/>
      <c r="H13" s="171"/>
      <c r="I13" s="174"/>
      <c r="J13" s="171"/>
      <c r="K13" s="175" t="s">
        <v>607</v>
      </c>
      <c r="L13" s="171"/>
    </row>
    <row r="14" spans="1:14" ht="15" customHeight="1" x14ac:dyDescent="0.2">
      <c r="A14" s="863"/>
      <c r="B14" s="852" t="s">
        <v>42</v>
      </c>
      <c r="C14" s="850" t="s">
        <v>43</v>
      </c>
      <c r="D14" s="856"/>
      <c r="E14" s="850" t="s">
        <v>45</v>
      </c>
      <c r="F14" s="856"/>
      <c r="G14" s="850" t="s">
        <v>297</v>
      </c>
      <c r="H14" s="856"/>
      <c r="I14" s="850" t="s">
        <v>295</v>
      </c>
      <c r="J14" s="856"/>
      <c r="K14" s="850" t="s">
        <v>47</v>
      </c>
      <c r="L14" s="862"/>
      <c r="M14" s="850" t="s">
        <v>625</v>
      </c>
      <c r="N14" s="851"/>
    </row>
    <row r="15" spans="1:14" ht="44.25" customHeight="1" thickBot="1" x14ac:dyDescent="0.25">
      <c r="A15" s="864"/>
      <c r="B15" s="853"/>
      <c r="C15" s="465" t="s">
        <v>43</v>
      </c>
      <c r="D15" s="466" t="s">
        <v>588</v>
      </c>
      <c r="E15" s="467" t="s">
        <v>43</v>
      </c>
      <c r="F15" s="468" t="s">
        <v>588</v>
      </c>
      <c r="G15" s="467" t="s">
        <v>43</v>
      </c>
      <c r="H15" s="468" t="s">
        <v>588</v>
      </c>
      <c r="I15" s="467" t="s">
        <v>43</v>
      </c>
      <c r="J15" s="468" t="s">
        <v>588</v>
      </c>
      <c r="K15" s="469" t="s">
        <v>43</v>
      </c>
      <c r="L15" s="470" t="s">
        <v>588</v>
      </c>
      <c r="M15" s="450" t="s">
        <v>43</v>
      </c>
      <c r="N15" s="451" t="s">
        <v>588</v>
      </c>
    </row>
    <row r="16" spans="1:14" ht="29.25" customHeight="1" thickBot="1" x14ac:dyDescent="0.25">
      <c r="A16" s="229">
        <v>1</v>
      </c>
      <c r="B16" s="177" t="s">
        <v>115</v>
      </c>
      <c r="C16" s="471">
        <f>E16+G16+I16+K16+M16</f>
        <v>7752.3749799999996</v>
      </c>
      <c r="D16" s="472">
        <f t="shared" ref="C16:D18" si="0">F16+H16+J16+L16</f>
        <v>6136.2029999999995</v>
      </c>
      <c r="E16" s="422">
        <f>E17+E19+E26+E29+E33+E37+E42+SUM(E45:E55)+E40</f>
        <v>5524.9129699999994</v>
      </c>
      <c r="F16" s="423">
        <f>F17+F19+F26+F29+F33+F37+F42+SUM(F45:F55)</f>
        <v>4551.643</v>
      </c>
      <c r="G16" s="422">
        <f>G19+G27+SUM(G45:G55)+G29</f>
        <v>1741.6630099999998</v>
      </c>
      <c r="H16" s="423">
        <f>H19+H27+SUM(H45:H55)</f>
        <v>1584.56</v>
      </c>
      <c r="I16" s="473"/>
      <c r="J16" s="472"/>
      <c r="K16" s="474">
        <f>K29+SUM(K46:K55)</f>
        <v>61.74</v>
      </c>
      <c r="L16" s="475"/>
      <c r="M16" s="476">
        <f>M19</f>
        <v>424.05900000000003</v>
      </c>
      <c r="N16" s="444"/>
    </row>
    <row r="17" spans="1:20" ht="15" customHeight="1" x14ac:dyDescent="0.2">
      <c r="A17" s="230">
        <f>A16+1</f>
        <v>2</v>
      </c>
      <c r="B17" s="477" t="s">
        <v>51</v>
      </c>
      <c r="C17" s="478">
        <f t="shared" si="0"/>
        <v>125.95699999999999</v>
      </c>
      <c r="D17" s="479">
        <f t="shared" si="0"/>
        <v>79.894000000000005</v>
      </c>
      <c r="E17" s="480">
        <f>E18</f>
        <v>125.95699999999999</v>
      </c>
      <c r="F17" s="481">
        <f>F18</f>
        <v>79.894000000000005</v>
      </c>
      <c r="G17" s="482"/>
      <c r="H17" s="483"/>
      <c r="I17" s="482"/>
      <c r="J17" s="483"/>
      <c r="K17" s="484"/>
      <c r="L17" s="485"/>
      <c r="M17" s="427"/>
      <c r="N17" s="428"/>
    </row>
    <row r="18" spans="1:20" ht="15" customHeight="1" x14ac:dyDescent="0.2">
      <c r="A18" s="314">
        <v>3</v>
      </c>
      <c r="B18" s="486" t="s">
        <v>53</v>
      </c>
      <c r="C18" s="487">
        <f t="shared" si="0"/>
        <v>125.95699999999999</v>
      </c>
      <c r="D18" s="488">
        <f t="shared" si="0"/>
        <v>79.894000000000005</v>
      </c>
      <c r="E18" s="489">
        <v>125.95699999999999</v>
      </c>
      <c r="F18" s="490">
        <f>9.894+70</f>
        <v>79.894000000000005</v>
      </c>
      <c r="G18" s="482"/>
      <c r="H18" s="483"/>
      <c r="I18" s="482"/>
      <c r="J18" s="483"/>
      <c r="K18" s="484"/>
      <c r="L18" s="485"/>
      <c r="M18" s="411"/>
      <c r="N18" s="412"/>
    </row>
    <row r="19" spans="1:20" ht="15" customHeight="1" x14ac:dyDescent="0.2">
      <c r="A19" s="230">
        <f t="shared" ref="A19:A70" si="1">A18+1</f>
        <v>4</v>
      </c>
      <c r="B19" s="491" t="s">
        <v>116</v>
      </c>
      <c r="C19" s="492">
        <f>E19+G19+I19+K19+M19</f>
        <v>5752.4000099999994</v>
      </c>
      <c r="D19" s="493">
        <f>SUM(D20:D23)</f>
        <v>4745.6659999999993</v>
      </c>
      <c r="E19" s="478">
        <f>SUM(E20:E25)</f>
        <v>4831.2779999999993</v>
      </c>
      <c r="F19" s="494">
        <f>SUM(F20:F23)</f>
        <v>4311.8059999999996</v>
      </c>
      <c r="G19" s="495">
        <f>G20+G21+G23</f>
        <v>497.06300999999996</v>
      </c>
      <c r="H19" s="496">
        <f>H20+H21+H23</f>
        <v>433.86</v>
      </c>
      <c r="I19" s="482"/>
      <c r="J19" s="483"/>
      <c r="K19" s="484"/>
      <c r="L19" s="485"/>
      <c r="M19" s="497">
        <f>M25</f>
        <v>424.05900000000003</v>
      </c>
      <c r="N19" s="412"/>
    </row>
    <row r="20" spans="1:20" ht="15" customHeight="1" x14ac:dyDescent="0.2">
      <c r="A20" s="314">
        <f t="shared" si="1"/>
        <v>5</v>
      </c>
      <c r="B20" s="486" t="s">
        <v>26</v>
      </c>
      <c r="C20" s="492">
        <f>E20+G20+I20+K20+M20</f>
        <v>5053.9860099999996</v>
      </c>
      <c r="D20" s="488">
        <f>F20+H20+J20+L20</f>
        <v>4658.4489999999996</v>
      </c>
      <c r="E20" s="374">
        <f>4536.799+20.124</f>
        <v>4556.9229999999998</v>
      </c>
      <c r="F20" s="498">
        <v>4224.5889999999999</v>
      </c>
      <c r="G20" s="376">
        <f>496.94352+0.11949</f>
        <v>497.06300999999996</v>
      </c>
      <c r="H20" s="408">
        <v>433.86</v>
      </c>
      <c r="I20" s="499"/>
      <c r="J20" s="500"/>
      <c r="K20" s="501"/>
      <c r="L20" s="502"/>
      <c r="M20" s="411"/>
      <c r="N20" s="412"/>
    </row>
    <row r="21" spans="1:20" ht="15" customHeight="1" x14ac:dyDescent="0.2">
      <c r="A21" s="230">
        <f t="shared" si="1"/>
        <v>6</v>
      </c>
      <c r="B21" s="486" t="s">
        <v>55</v>
      </c>
      <c r="C21" s="487">
        <f t="shared" ref="C21:D31" si="2">E21+G21+I21+K21</f>
        <v>83.784999999999997</v>
      </c>
      <c r="D21" s="488"/>
      <c r="E21" s="13">
        <v>83.784999999999997</v>
      </c>
      <c r="F21" s="500"/>
      <c r="G21" s="499"/>
      <c r="H21" s="500"/>
      <c r="I21" s="499"/>
      <c r="J21" s="500"/>
      <c r="K21" s="501"/>
      <c r="L21" s="502"/>
      <c r="M21" s="411"/>
      <c r="N21" s="412"/>
    </row>
    <row r="22" spans="1:20" ht="15" customHeight="1" x14ac:dyDescent="0.2">
      <c r="A22" s="230">
        <f t="shared" si="1"/>
        <v>7</v>
      </c>
      <c r="B22" s="503" t="s">
        <v>52</v>
      </c>
      <c r="C22" s="504">
        <f t="shared" si="2"/>
        <v>96.72</v>
      </c>
      <c r="D22" s="505">
        <f t="shared" si="2"/>
        <v>87.216999999999999</v>
      </c>
      <c r="E22" s="489">
        <v>96.72</v>
      </c>
      <c r="F22" s="490">
        <v>87.216999999999999</v>
      </c>
      <c r="G22" s="499"/>
      <c r="H22" s="500"/>
      <c r="I22" s="499"/>
      <c r="J22" s="500"/>
      <c r="K22" s="501"/>
      <c r="L22" s="502"/>
      <c r="M22" s="411"/>
      <c r="N22" s="412"/>
    </row>
    <row r="23" spans="1:20" ht="15" customHeight="1" x14ac:dyDescent="0.2">
      <c r="A23" s="230">
        <f t="shared" si="1"/>
        <v>8</v>
      </c>
      <c r="B23" s="486" t="s">
        <v>621</v>
      </c>
      <c r="C23" s="487">
        <f t="shared" si="2"/>
        <v>76.2</v>
      </c>
      <c r="D23" s="488"/>
      <c r="E23" s="487">
        <v>76.2</v>
      </c>
      <c r="F23" s="500"/>
      <c r="G23" s="499"/>
      <c r="H23" s="500"/>
      <c r="I23" s="499"/>
      <c r="J23" s="500"/>
      <c r="K23" s="501"/>
      <c r="L23" s="502"/>
      <c r="M23" s="411"/>
      <c r="N23" s="412"/>
    </row>
    <row r="24" spans="1:20" ht="27" customHeight="1" x14ac:dyDescent="0.2">
      <c r="A24" s="230">
        <f t="shared" si="1"/>
        <v>9</v>
      </c>
      <c r="B24" s="506" t="s">
        <v>493</v>
      </c>
      <c r="C24" s="507">
        <f t="shared" si="2"/>
        <v>17.649999999999999</v>
      </c>
      <c r="D24" s="410"/>
      <c r="E24" s="405">
        <v>17.649999999999999</v>
      </c>
      <c r="F24" s="500"/>
      <c r="G24" s="499"/>
      <c r="H24" s="500"/>
      <c r="I24" s="499"/>
      <c r="J24" s="500"/>
      <c r="K24" s="501"/>
      <c r="L24" s="502"/>
      <c r="M24" s="411"/>
      <c r="N24" s="412"/>
    </row>
    <row r="25" spans="1:20" ht="16.5" customHeight="1" x14ac:dyDescent="0.2">
      <c r="A25" s="230">
        <f t="shared" si="1"/>
        <v>10</v>
      </c>
      <c r="B25" s="402" t="s">
        <v>623</v>
      </c>
      <c r="C25" s="507">
        <f>E25+G25+I25+K25+M25</f>
        <v>424.05900000000003</v>
      </c>
      <c r="D25" s="508"/>
      <c r="E25" s="509"/>
      <c r="F25" s="500"/>
      <c r="G25" s="499"/>
      <c r="H25" s="500"/>
      <c r="I25" s="499"/>
      <c r="J25" s="500"/>
      <c r="K25" s="501"/>
      <c r="L25" s="502"/>
      <c r="M25" s="405">
        <v>424.05900000000003</v>
      </c>
      <c r="N25" s="412"/>
    </row>
    <row r="26" spans="1:20" ht="15" customHeight="1" x14ac:dyDescent="0.2">
      <c r="A26" s="230">
        <f t="shared" si="1"/>
        <v>11</v>
      </c>
      <c r="B26" s="510" t="s">
        <v>120</v>
      </c>
      <c r="C26" s="511">
        <f t="shared" si="2"/>
        <v>100.559</v>
      </c>
      <c r="D26" s="512">
        <f>F26+H26+J26+L26</f>
        <v>97.424000000000007</v>
      </c>
      <c r="E26" s="513">
        <v>100.559</v>
      </c>
      <c r="F26" s="496">
        <v>97.424000000000007</v>
      </c>
      <c r="G26" s="487"/>
      <c r="H26" s="498"/>
      <c r="I26" s="487"/>
      <c r="J26" s="498"/>
      <c r="K26" s="514"/>
      <c r="L26" s="502"/>
      <c r="M26" s="411"/>
      <c r="N26" s="412"/>
    </row>
    <row r="27" spans="1:20" ht="15" customHeight="1" x14ac:dyDescent="0.2">
      <c r="A27" s="230">
        <f t="shared" si="1"/>
        <v>12</v>
      </c>
      <c r="B27" s="510" t="s">
        <v>121</v>
      </c>
      <c r="C27" s="511">
        <f t="shared" si="2"/>
        <v>5</v>
      </c>
      <c r="D27" s="512"/>
      <c r="E27" s="419"/>
      <c r="F27" s="515"/>
      <c r="G27" s="511">
        <f>G28</f>
        <v>5</v>
      </c>
      <c r="H27" s="498"/>
      <c r="I27" s="487"/>
      <c r="J27" s="498"/>
      <c r="K27" s="514"/>
      <c r="L27" s="502"/>
      <c r="M27" s="411"/>
      <c r="N27" s="412"/>
      <c r="T27" s="7" t="s">
        <v>465</v>
      </c>
    </row>
    <row r="28" spans="1:20" ht="15" customHeight="1" x14ac:dyDescent="0.2">
      <c r="A28" s="230">
        <f t="shared" si="1"/>
        <v>13</v>
      </c>
      <c r="B28" s="486" t="s">
        <v>63</v>
      </c>
      <c r="C28" s="487">
        <f t="shared" si="2"/>
        <v>5</v>
      </c>
      <c r="D28" s="512"/>
      <c r="E28" s="407"/>
      <c r="F28" s="496"/>
      <c r="G28" s="487">
        <v>5</v>
      </c>
      <c r="H28" s="498"/>
      <c r="I28" s="487"/>
      <c r="J28" s="498"/>
      <c r="K28" s="516"/>
      <c r="L28" s="502"/>
      <c r="M28" s="411"/>
      <c r="N28" s="412"/>
    </row>
    <row r="29" spans="1:20" ht="15" customHeight="1" x14ac:dyDescent="0.2">
      <c r="A29" s="230">
        <f t="shared" si="1"/>
        <v>14</v>
      </c>
      <c r="B29" s="510" t="s">
        <v>238</v>
      </c>
      <c r="C29" s="511">
        <f t="shared" si="2"/>
        <v>67.5</v>
      </c>
      <c r="D29" s="512"/>
      <c r="E29" s="511">
        <f>E30+E31+E32</f>
        <v>15</v>
      </c>
      <c r="F29" s="496"/>
      <c r="G29" s="511">
        <f>G30+G31+G32</f>
        <v>2.5</v>
      </c>
      <c r="H29" s="496"/>
      <c r="I29" s="511"/>
      <c r="J29" s="496"/>
      <c r="K29" s="517">
        <f>K32</f>
        <v>50</v>
      </c>
      <c r="L29" s="518"/>
      <c r="M29" s="411"/>
      <c r="N29" s="412"/>
    </row>
    <row r="30" spans="1:20" ht="15" customHeight="1" x14ac:dyDescent="0.2">
      <c r="A30" s="230">
        <f t="shared" si="1"/>
        <v>15</v>
      </c>
      <c r="B30" s="486" t="s">
        <v>239</v>
      </c>
      <c r="C30" s="487">
        <f t="shared" si="2"/>
        <v>15</v>
      </c>
      <c r="D30" s="488"/>
      <c r="E30" s="487">
        <v>15</v>
      </c>
      <c r="F30" s="519"/>
      <c r="G30" s="504"/>
      <c r="H30" s="498"/>
      <c r="I30" s="487"/>
      <c r="J30" s="498"/>
      <c r="K30" s="520"/>
      <c r="L30" s="502"/>
      <c r="M30" s="411"/>
      <c r="N30" s="412"/>
    </row>
    <row r="31" spans="1:20" ht="15" customHeight="1" x14ac:dyDescent="0.2">
      <c r="A31" s="314">
        <f t="shared" si="1"/>
        <v>16</v>
      </c>
      <c r="B31" s="402" t="s">
        <v>301</v>
      </c>
      <c r="C31" s="487">
        <f t="shared" si="2"/>
        <v>2.5</v>
      </c>
      <c r="D31" s="521"/>
      <c r="E31" s="405"/>
      <c r="F31" s="408"/>
      <c r="G31" s="504">
        <f>1.1+1.4</f>
        <v>2.5</v>
      </c>
      <c r="H31" s="498"/>
      <c r="I31" s="487"/>
      <c r="J31" s="498"/>
      <c r="K31" s="520"/>
      <c r="L31" s="502"/>
      <c r="M31" s="411"/>
      <c r="N31" s="412"/>
    </row>
    <row r="32" spans="1:20" ht="15" customHeight="1" x14ac:dyDescent="0.2">
      <c r="A32" s="230">
        <f t="shared" si="1"/>
        <v>17</v>
      </c>
      <c r="B32" s="486" t="s">
        <v>240</v>
      </c>
      <c r="C32" s="487">
        <f t="shared" ref="C32:C70" si="3">E32+G32+I32+K32</f>
        <v>50</v>
      </c>
      <c r="D32" s="488"/>
      <c r="E32" s="487"/>
      <c r="F32" s="498"/>
      <c r="G32" s="504"/>
      <c r="H32" s="498"/>
      <c r="I32" s="487"/>
      <c r="J32" s="498"/>
      <c r="K32" s="514">
        <v>50</v>
      </c>
      <c r="L32" s="502"/>
      <c r="M32" s="411"/>
      <c r="N32" s="412"/>
    </row>
    <row r="33" spans="1:14" ht="14.25" customHeight="1" x14ac:dyDescent="0.2">
      <c r="A33" s="230">
        <f t="shared" si="1"/>
        <v>18</v>
      </c>
      <c r="B33" s="522" t="s">
        <v>532</v>
      </c>
      <c r="C33" s="511">
        <f t="shared" si="3"/>
        <v>90</v>
      </c>
      <c r="D33" s="512"/>
      <c r="E33" s="511">
        <f>E34+E35+E36</f>
        <v>90</v>
      </c>
      <c r="F33" s="496"/>
      <c r="G33" s="487"/>
      <c r="H33" s="498"/>
      <c r="I33" s="487"/>
      <c r="J33" s="498"/>
      <c r="K33" s="514"/>
      <c r="L33" s="502"/>
      <c r="M33" s="411"/>
      <c r="N33" s="412"/>
    </row>
    <row r="34" spans="1:14" ht="15" customHeight="1" x14ac:dyDescent="0.2">
      <c r="A34" s="230">
        <f t="shared" si="1"/>
        <v>19</v>
      </c>
      <c r="B34" s="523" t="s">
        <v>75</v>
      </c>
      <c r="C34" s="487">
        <f t="shared" si="3"/>
        <v>50</v>
      </c>
      <c r="D34" s="488"/>
      <c r="E34" s="487">
        <v>50</v>
      </c>
      <c r="F34" s="498"/>
      <c r="G34" s="487"/>
      <c r="H34" s="498"/>
      <c r="I34" s="487"/>
      <c r="J34" s="498"/>
      <c r="K34" s="514"/>
      <c r="L34" s="502"/>
      <c r="M34" s="411"/>
      <c r="N34" s="412"/>
    </row>
    <row r="35" spans="1:14" ht="26.25" customHeight="1" x14ac:dyDescent="0.2">
      <c r="A35" s="230">
        <f t="shared" si="1"/>
        <v>20</v>
      </c>
      <c r="B35" s="524" t="s">
        <v>242</v>
      </c>
      <c r="C35" s="487">
        <f t="shared" si="3"/>
        <v>25</v>
      </c>
      <c r="D35" s="488"/>
      <c r="E35" s="487">
        <v>25</v>
      </c>
      <c r="F35" s="498"/>
      <c r="G35" s="487"/>
      <c r="H35" s="498"/>
      <c r="I35" s="487"/>
      <c r="J35" s="498"/>
      <c r="K35" s="514"/>
      <c r="L35" s="502"/>
      <c r="M35" s="411"/>
      <c r="N35" s="412"/>
    </row>
    <row r="36" spans="1:14" ht="27" customHeight="1" x14ac:dyDescent="0.2">
      <c r="A36" s="230">
        <f t="shared" si="1"/>
        <v>21</v>
      </c>
      <c r="B36" s="402" t="s">
        <v>533</v>
      </c>
      <c r="C36" s="405">
        <f t="shared" si="3"/>
        <v>15</v>
      </c>
      <c r="D36" s="410"/>
      <c r="E36" s="405">
        <v>15</v>
      </c>
      <c r="F36" s="498"/>
      <c r="G36" s="487"/>
      <c r="H36" s="498"/>
      <c r="I36" s="487"/>
      <c r="J36" s="498"/>
      <c r="K36" s="514"/>
      <c r="L36" s="502"/>
      <c r="M36" s="411"/>
      <c r="N36" s="412"/>
    </row>
    <row r="37" spans="1:14" ht="15" customHeight="1" x14ac:dyDescent="0.2">
      <c r="A37" s="230">
        <f t="shared" si="1"/>
        <v>22</v>
      </c>
      <c r="B37" s="510" t="s">
        <v>130</v>
      </c>
      <c r="C37" s="511">
        <f t="shared" si="3"/>
        <v>3</v>
      </c>
      <c r="D37" s="488"/>
      <c r="E37" s="511">
        <f>E38+E39</f>
        <v>3</v>
      </c>
      <c r="F37" s="498"/>
      <c r="G37" s="487"/>
      <c r="H37" s="498"/>
      <c r="I37" s="487"/>
      <c r="J37" s="498"/>
      <c r="K37" s="514"/>
      <c r="L37" s="488"/>
      <c r="M37" s="405"/>
      <c r="N37" s="408"/>
    </row>
    <row r="38" spans="1:14" ht="26.25" customHeight="1" x14ac:dyDescent="0.2">
      <c r="A38" s="230">
        <f t="shared" si="1"/>
        <v>23</v>
      </c>
      <c r="B38" s="402" t="s">
        <v>529</v>
      </c>
      <c r="C38" s="487">
        <f t="shared" si="3"/>
        <v>1.5</v>
      </c>
      <c r="D38" s="488"/>
      <c r="E38" s="487">
        <v>1.5</v>
      </c>
      <c r="F38" s="498"/>
      <c r="G38" s="487"/>
      <c r="H38" s="498"/>
      <c r="I38" s="487"/>
      <c r="J38" s="498"/>
      <c r="K38" s="514"/>
      <c r="L38" s="488"/>
      <c r="M38" s="405"/>
      <c r="N38" s="408"/>
    </row>
    <row r="39" spans="1:14" ht="15" customHeight="1" x14ac:dyDescent="0.2">
      <c r="A39" s="230">
        <f t="shared" si="1"/>
        <v>24</v>
      </c>
      <c r="B39" s="525" t="s">
        <v>79</v>
      </c>
      <c r="C39" s="526">
        <f t="shared" si="3"/>
        <v>1.5</v>
      </c>
      <c r="D39" s="527"/>
      <c r="E39" s="526">
        <v>1.5</v>
      </c>
      <c r="F39" s="498"/>
      <c r="G39" s="487"/>
      <c r="H39" s="498"/>
      <c r="I39" s="487"/>
      <c r="J39" s="498"/>
      <c r="K39" s="514"/>
      <c r="L39" s="488"/>
      <c r="M39" s="405"/>
      <c r="N39" s="408"/>
    </row>
    <row r="40" spans="1:14" ht="15" customHeight="1" x14ac:dyDescent="0.2">
      <c r="A40" s="230">
        <f t="shared" si="1"/>
        <v>25</v>
      </c>
      <c r="B40" s="528" t="s">
        <v>265</v>
      </c>
      <c r="C40" s="526">
        <f t="shared" si="3"/>
        <v>36.299999999999997</v>
      </c>
      <c r="D40" s="410"/>
      <c r="E40" s="405">
        <f>E41</f>
        <v>36.299999999999997</v>
      </c>
      <c r="F40" s="529"/>
      <c r="G40" s="487"/>
      <c r="H40" s="498"/>
      <c r="I40" s="487"/>
      <c r="J40" s="498"/>
      <c r="K40" s="514"/>
      <c r="L40" s="488"/>
      <c r="M40" s="405"/>
      <c r="N40" s="408"/>
    </row>
    <row r="41" spans="1:14" ht="15" customHeight="1" x14ac:dyDescent="0.2">
      <c r="A41" s="230">
        <f t="shared" si="1"/>
        <v>26</v>
      </c>
      <c r="B41" s="402" t="s">
        <v>486</v>
      </c>
      <c r="C41" s="526">
        <f t="shared" si="3"/>
        <v>36.299999999999997</v>
      </c>
      <c r="D41" s="530"/>
      <c r="E41" s="531">
        <v>36.299999999999997</v>
      </c>
      <c r="F41" s="498"/>
      <c r="G41" s="487"/>
      <c r="H41" s="498"/>
      <c r="I41" s="487"/>
      <c r="J41" s="498"/>
      <c r="K41" s="514"/>
      <c r="L41" s="488"/>
      <c r="M41" s="405"/>
      <c r="N41" s="408"/>
    </row>
    <row r="42" spans="1:14" ht="15" customHeight="1" x14ac:dyDescent="0.2">
      <c r="A42" s="230">
        <f t="shared" si="1"/>
        <v>27</v>
      </c>
      <c r="B42" s="532" t="s">
        <v>292</v>
      </c>
      <c r="C42" s="533">
        <f t="shared" si="3"/>
        <v>69.070970000000003</v>
      </c>
      <c r="D42" s="371"/>
      <c r="E42" s="533">
        <f>E43+E44</f>
        <v>69.070970000000003</v>
      </c>
      <c r="F42" s="498"/>
      <c r="G42" s="487"/>
      <c r="H42" s="498"/>
      <c r="I42" s="487"/>
      <c r="J42" s="498"/>
      <c r="K42" s="514"/>
      <c r="L42" s="488"/>
      <c r="M42" s="405"/>
      <c r="N42" s="408"/>
    </row>
    <row r="43" spans="1:14" ht="15" customHeight="1" x14ac:dyDescent="0.2">
      <c r="A43" s="230">
        <f t="shared" si="1"/>
        <v>28</v>
      </c>
      <c r="B43" s="402" t="s">
        <v>263</v>
      </c>
      <c r="C43" s="405">
        <f t="shared" si="3"/>
        <v>65.3</v>
      </c>
      <c r="D43" s="371"/>
      <c r="E43" s="405">
        <v>65.3</v>
      </c>
      <c r="F43" s="498"/>
      <c r="G43" s="487"/>
      <c r="H43" s="498"/>
      <c r="I43" s="487"/>
      <c r="J43" s="498"/>
      <c r="K43" s="514"/>
      <c r="L43" s="488"/>
      <c r="M43" s="405"/>
      <c r="N43" s="408"/>
    </row>
    <row r="44" spans="1:14" ht="24.75" customHeight="1" x14ac:dyDescent="0.2">
      <c r="A44" s="230">
        <f t="shared" si="1"/>
        <v>29</v>
      </c>
      <c r="B44" s="402" t="s">
        <v>606</v>
      </c>
      <c r="C44" s="534">
        <f t="shared" si="3"/>
        <v>3.7709700000000002</v>
      </c>
      <c r="D44" s="535"/>
      <c r="E44" s="536">
        <v>3.7709700000000002</v>
      </c>
      <c r="F44" s="498"/>
      <c r="G44" s="487"/>
      <c r="H44" s="498"/>
      <c r="I44" s="487"/>
      <c r="J44" s="498"/>
      <c r="K44" s="514"/>
      <c r="L44" s="488"/>
      <c r="M44" s="405"/>
      <c r="N44" s="408"/>
    </row>
    <row r="45" spans="1:14" ht="15" customHeight="1" x14ac:dyDescent="0.2">
      <c r="A45" s="230">
        <f t="shared" si="1"/>
        <v>30</v>
      </c>
      <c r="B45" s="510" t="s">
        <v>1</v>
      </c>
      <c r="C45" s="511">
        <f t="shared" si="3"/>
        <v>1368.5319999999999</v>
      </c>
      <c r="D45" s="512">
        <f t="shared" ref="D45:D59" si="4">F45+H45+J45+L45</f>
        <v>1213.2190000000001</v>
      </c>
      <c r="E45" s="511">
        <f>63.932+70</f>
        <v>133.93200000000002</v>
      </c>
      <c r="F45" s="23">
        <v>62.518999999999998</v>
      </c>
      <c r="G45" s="511">
        <v>1234.5999999999999</v>
      </c>
      <c r="H45" s="23">
        <v>1150.7</v>
      </c>
      <c r="I45" s="511"/>
      <c r="J45" s="496"/>
      <c r="K45" s="537"/>
      <c r="L45" s="512"/>
      <c r="M45" s="405"/>
      <c r="N45" s="408"/>
    </row>
    <row r="46" spans="1:14" ht="15" customHeight="1" x14ac:dyDescent="0.2">
      <c r="A46" s="230">
        <f t="shared" si="1"/>
        <v>31</v>
      </c>
      <c r="B46" s="510" t="s">
        <v>7</v>
      </c>
      <c r="C46" s="511">
        <f t="shared" si="3"/>
        <v>24.103999999999999</v>
      </c>
      <c r="D46" s="512"/>
      <c r="E46" s="511">
        <v>23.404</v>
      </c>
      <c r="F46" s="496"/>
      <c r="G46" s="511">
        <v>0.5</v>
      </c>
      <c r="H46" s="496"/>
      <c r="I46" s="511"/>
      <c r="J46" s="496"/>
      <c r="K46" s="537">
        <v>0.2</v>
      </c>
      <c r="L46" s="512"/>
      <c r="M46" s="405"/>
      <c r="N46" s="408"/>
    </row>
    <row r="47" spans="1:14" ht="15" customHeight="1" x14ac:dyDescent="0.2">
      <c r="A47" s="230">
        <f t="shared" si="1"/>
        <v>32</v>
      </c>
      <c r="B47" s="510" t="s">
        <v>8</v>
      </c>
      <c r="C47" s="511">
        <f t="shared" si="3"/>
        <v>16.762999999999998</v>
      </c>
      <c r="D47" s="512"/>
      <c r="E47" s="511">
        <v>12.763</v>
      </c>
      <c r="F47" s="496"/>
      <c r="G47" s="511">
        <v>0.5</v>
      </c>
      <c r="H47" s="496"/>
      <c r="I47" s="511"/>
      <c r="J47" s="496"/>
      <c r="K47" s="537">
        <v>3.5</v>
      </c>
      <c r="L47" s="512"/>
      <c r="M47" s="405"/>
      <c r="N47" s="408"/>
    </row>
    <row r="48" spans="1:14" ht="15" customHeight="1" x14ac:dyDescent="0.2">
      <c r="A48" s="230">
        <f t="shared" si="1"/>
        <v>33</v>
      </c>
      <c r="B48" s="510" t="s">
        <v>9</v>
      </c>
      <c r="C48" s="511">
        <f t="shared" si="3"/>
        <v>15.785</v>
      </c>
      <c r="D48" s="512"/>
      <c r="E48" s="511">
        <v>14.285</v>
      </c>
      <c r="F48" s="496"/>
      <c r="G48" s="511">
        <v>0.5</v>
      </c>
      <c r="H48" s="496"/>
      <c r="I48" s="511"/>
      <c r="J48" s="496"/>
      <c r="K48" s="537">
        <v>1</v>
      </c>
      <c r="L48" s="512"/>
      <c r="M48" s="405"/>
      <c r="N48" s="408"/>
    </row>
    <row r="49" spans="1:14" ht="15" customHeight="1" x14ac:dyDescent="0.2">
      <c r="A49" s="230">
        <f t="shared" si="1"/>
        <v>34</v>
      </c>
      <c r="B49" s="510" t="s">
        <v>10</v>
      </c>
      <c r="C49" s="511">
        <f t="shared" si="3"/>
        <v>8.2490000000000006</v>
      </c>
      <c r="D49" s="512"/>
      <c r="E49" s="511">
        <v>8.2490000000000006</v>
      </c>
      <c r="F49" s="496"/>
      <c r="G49" s="511"/>
      <c r="H49" s="496"/>
      <c r="I49" s="511"/>
      <c r="J49" s="496"/>
      <c r="K49" s="537"/>
      <c r="L49" s="512"/>
      <c r="M49" s="405"/>
      <c r="N49" s="408"/>
    </row>
    <row r="50" spans="1:14" ht="15" customHeight="1" x14ac:dyDescent="0.2">
      <c r="A50" s="230">
        <f t="shared" si="1"/>
        <v>35</v>
      </c>
      <c r="B50" s="510" t="s">
        <v>11</v>
      </c>
      <c r="C50" s="511">
        <f t="shared" si="3"/>
        <v>15.815000000000001</v>
      </c>
      <c r="D50" s="512"/>
      <c r="E50" s="511">
        <v>12.695</v>
      </c>
      <c r="F50" s="496"/>
      <c r="G50" s="511"/>
      <c r="H50" s="496"/>
      <c r="I50" s="511"/>
      <c r="J50" s="496"/>
      <c r="K50" s="537">
        <v>3.12</v>
      </c>
      <c r="L50" s="512"/>
      <c r="M50" s="405"/>
      <c r="N50" s="408"/>
    </row>
    <row r="51" spans="1:14" ht="15" customHeight="1" x14ac:dyDescent="0.2">
      <c r="A51" s="230">
        <f t="shared" si="1"/>
        <v>36</v>
      </c>
      <c r="B51" s="510" t="s">
        <v>12</v>
      </c>
      <c r="C51" s="511">
        <f t="shared" si="3"/>
        <v>12.451000000000001</v>
      </c>
      <c r="D51" s="512"/>
      <c r="E51" s="511">
        <v>11.851000000000001</v>
      </c>
      <c r="F51" s="496"/>
      <c r="G51" s="511"/>
      <c r="H51" s="496"/>
      <c r="I51" s="511"/>
      <c r="J51" s="496"/>
      <c r="K51" s="537">
        <v>0.6</v>
      </c>
      <c r="L51" s="512"/>
      <c r="M51" s="405"/>
      <c r="N51" s="408"/>
    </row>
    <row r="52" spans="1:14" ht="15" customHeight="1" x14ac:dyDescent="0.2">
      <c r="A52" s="230">
        <f t="shared" si="1"/>
        <v>37</v>
      </c>
      <c r="B52" s="510" t="s">
        <v>13</v>
      </c>
      <c r="C52" s="511">
        <f t="shared" si="3"/>
        <v>15.092000000000001</v>
      </c>
      <c r="D52" s="512"/>
      <c r="E52" s="511">
        <v>14.092000000000001</v>
      </c>
      <c r="F52" s="496"/>
      <c r="G52" s="511">
        <v>0.5</v>
      </c>
      <c r="H52" s="496"/>
      <c r="I52" s="511"/>
      <c r="J52" s="496"/>
      <c r="K52" s="537">
        <v>0.5</v>
      </c>
      <c r="L52" s="512"/>
      <c r="M52" s="405"/>
      <c r="N52" s="408"/>
    </row>
    <row r="53" spans="1:14" ht="15" customHeight="1" x14ac:dyDescent="0.2">
      <c r="A53" s="230">
        <f t="shared" si="1"/>
        <v>38</v>
      </c>
      <c r="B53" s="510" t="s">
        <v>14</v>
      </c>
      <c r="C53" s="511">
        <f t="shared" si="3"/>
        <v>9.6310000000000002</v>
      </c>
      <c r="D53" s="512"/>
      <c r="E53" s="511">
        <v>9.0790000000000006</v>
      </c>
      <c r="F53" s="496"/>
      <c r="G53" s="511"/>
      <c r="H53" s="496"/>
      <c r="I53" s="511"/>
      <c r="J53" s="496"/>
      <c r="K53" s="537">
        <v>0.55200000000000005</v>
      </c>
      <c r="L53" s="512"/>
      <c r="M53" s="405"/>
      <c r="N53" s="408"/>
    </row>
    <row r="54" spans="1:14" ht="15" customHeight="1" x14ac:dyDescent="0.2">
      <c r="A54" s="230">
        <f t="shared" si="1"/>
        <v>39</v>
      </c>
      <c r="B54" s="510" t="s">
        <v>28</v>
      </c>
      <c r="C54" s="511">
        <f t="shared" si="3"/>
        <v>4.7290000000000001</v>
      </c>
      <c r="D54" s="512"/>
      <c r="E54" s="511">
        <v>3.9289999999999998</v>
      </c>
      <c r="F54" s="496"/>
      <c r="G54" s="511">
        <v>0.5</v>
      </c>
      <c r="H54" s="496"/>
      <c r="I54" s="511"/>
      <c r="J54" s="496"/>
      <c r="K54" s="537">
        <v>0.3</v>
      </c>
      <c r="L54" s="512"/>
      <c r="M54" s="405"/>
      <c r="N54" s="408"/>
    </row>
    <row r="55" spans="1:14" ht="15" customHeight="1" thickBot="1" x14ac:dyDescent="0.25">
      <c r="A55" s="234">
        <f t="shared" si="1"/>
        <v>40</v>
      </c>
      <c r="B55" s="538" t="s">
        <v>16</v>
      </c>
      <c r="C55" s="513">
        <f t="shared" si="3"/>
        <v>11.436999999999999</v>
      </c>
      <c r="D55" s="539"/>
      <c r="E55" s="540">
        <v>9.4689999999999994</v>
      </c>
      <c r="F55" s="541"/>
      <c r="G55" s="513"/>
      <c r="H55" s="542"/>
      <c r="I55" s="543"/>
      <c r="J55" s="544"/>
      <c r="K55" s="545">
        <v>1.968</v>
      </c>
      <c r="L55" s="539"/>
      <c r="M55" s="546"/>
      <c r="N55" s="547"/>
    </row>
    <row r="56" spans="1:14" ht="28.5" customHeight="1" thickBot="1" x14ac:dyDescent="0.25">
      <c r="A56" s="229">
        <f t="shared" si="1"/>
        <v>41</v>
      </c>
      <c r="B56" s="548" t="s">
        <v>135</v>
      </c>
      <c r="C56" s="549">
        <f t="shared" si="3"/>
        <v>20716.215100000001</v>
      </c>
      <c r="D56" s="550">
        <f t="shared" si="4"/>
        <v>17333.794000000002</v>
      </c>
      <c r="E56" s="57">
        <f t="shared" ref="E56:J56" si="5">E57+SUM(E72:E109)</f>
        <v>10169.399100000002</v>
      </c>
      <c r="F56" s="58">
        <f t="shared" si="5"/>
        <v>7856.674</v>
      </c>
      <c r="G56" s="551">
        <f t="shared" si="5"/>
        <v>326.32799999999997</v>
      </c>
      <c r="H56" s="552">
        <f>H57+SUM(H72:H109)</f>
        <v>163.97200000000001</v>
      </c>
      <c r="I56" s="549">
        <f t="shared" si="5"/>
        <v>9619.4999999999982</v>
      </c>
      <c r="J56" s="553">
        <f t="shared" si="5"/>
        <v>9295.7720000000008</v>
      </c>
      <c r="K56" s="554">
        <f>SUM(K72:K109)</f>
        <v>600.98800000000006</v>
      </c>
      <c r="L56" s="555">
        <f>SUM(L72:L109)</f>
        <v>17.376000000000001</v>
      </c>
      <c r="M56" s="556"/>
      <c r="N56" s="557"/>
    </row>
    <row r="57" spans="1:14" ht="15" customHeight="1" x14ac:dyDescent="0.2">
      <c r="A57" s="230">
        <f t="shared" si="1"/>
        <v>42</v>
      </c>
      <c r="B57" s="558" t="s">
        <v>272</v>
      </c>
      <c r="C57" s="559">
        <f t="shared" si="3"/>
        <v>287.69409999999999</v>
      </c>
      <c r="D57" s="560">
        <f t="shared" si="4"/>
        <v>38.918999999999997</v>
      </c>
      <c r="E57" s="561">
        <f>SUM(E58:E71)</f>
        <v>147.69409999999999</v>
      </c>
      <c r="F57" s="493"/>
      <c r="G57" s="559">
        <f>SUM(G58:G70)</f>
        <v>131</v>
      </c>
      <c r="H57" s="560">
        <f>SUM(H58:H70)</f>
        <v>30.047999999999998</v>
      </c>
      <c r="I57" s="562">
        <f>SUM(I58:I62)</f>
        <v>9</v>
      </c>
      <c r="J57" s="563">
        <f>SUM(J58:J62)</f>
        <v>8.8710000000000004</v>
      </c>
      <c r="K57" s="564"/>
      <c r="L57" s="565"/>
      <c r="M57" s="566"/>
      <c r="N57" s="567"/>
    </row>
    <row r="58" spans="1:14" ht="15" customHeight="1" x14ac:dyDescent="0.2">
      <c r="A58" s="230">
        <f t="shared" si="1"/>
        <v>43</v>
      </c>
      <c r="B58" s="568" t="s">
        <v>251</v>
      </c>
      <c r="C58" s="487">
        <f t="shared" si="3"/>
        <v>9</v>
      </c>
      <c r="D58" s="498">
        <f t="shared" si="4"/>
        <v>8.8710000000000004</v>
      </c>
      <c r="E58" s="514"/>
      <c r="F58" s="488"/>
      <c r="G58" s="487"/>
      <c r="H58" s="498"/>
      <c r="I58" s="514">
        <v>9</v>
      </c>
      <c r="J58" s="488">
        <v>8.8710000000000004</v>
      </c>
      <c r="K58" s="487"/>
      <c r="L58" s="498"/>
      <c r="M58" s="405"/>
      <c r="N58" s="408"/>
    </row>
    <row r="59" spans="1:14" ht="15" customHeight="1" x14ac:dyDescent="0.2">
      <c r="A59" s="230">
        <f t="shared" si="1"/>
        <v>44</v>
      </c>
      <c r="B59" s="569" t="s">
        <v>84</v>
      </c>
      <c r="C59" s="487">
        <f t="shared" si="3"/>
        <v>131</v>
      </c>
      <c r="D59" s="498">
        <f t="shared" si="4"/>
        <v>30.047999999999998</v>
      </c>
      <c r="E59" s="514"/>
      <c r="F59" s="488"/>
      <c r="G59" s="487">
        <v>131</v>
      </c>
      <c r="H59" s="498">
        <v>30.047999999999998</v>
      </c>
      <c r="I59" s="514"/>
      <c r="J59" s="488"/>
      <c r="K59" s="487"/>
      <c r="L59" s="498"/>
      <c r="M59" s="405"/>
      <c r="N59" s="408"/>
    </row>
    <row r="60" spans="1:14" ht="15" customHeight="1" x14ac:dyDescent="0.2">
      <c r="A60" s="230">
        <f t="shared" si="1"/>
        <v>45</v>
      </c>
      <c r="B60" s="569" t="s">
        <v>85</v>
      </c>
      <c r="C60" s="487">
        <f t="shared" si="3"/>
        <v>5.64</v>
      </c>
      <c r="D60" s="498"/>
      <c r="E60" s="514">
        <v>5.64</v>
      </c>
      <c r="F60" s="488"/>
      <c r="G60" s="487"/>
      <c r="H60" s="498"/>
      <c r="I60" s="514"/>
      <c r="J60" s="488"/>
      <c r="K60" s="487"/>
      <c r="L60" s="498"/>
      <c r="M60" s="405"/>
      <c r="N60" s="408"/>
    </row>
    <row r="61" spans="1:14" ht="15" customHeight="1" x14ac:dyDescent="0.2">
      <c r="A61" s="230">
        <f t="shared" si="1"/>
        <v>46</v>
      </c>
      <c r="B61" s="569" t="s">
        <v>88</v>
      </c>
      <c r="C61" s="487">
        <f t="shared" si="3"/>
        <v>3.3</v>
      </c>
      <c r="D61" s="498"/>
      <c r="E61" s="514">
        <v>3.3</v>
      </c>
      <c r="F61" s="488"/>
      <c r="G61" s="487"/>
      <c r="H61" s="498"/>
      <c r="I61" s="514"/>
      <c r="J61" s="488"/>
      <c r="K61" s="487"/>
      <c r="L61" s="498"/>
      <c r="M61" s="405"/>
      <c r="N61" s="408"/>
    </row>
    <row r="62" spans="1:14" ht="15" customHeight="1" x14ac:dyDescent="0.2">
      <c r="A62" s="230">
        <f t="shared" si="1"/>
        <v>47</v>
      </c>
      <c r="B62" s="569" t="s">
        <v>283</v>
      </c>
      <c r="C62" s="487">
        <f t="shared" si="3"/>
        <v>5</v>
      </c>
      <c r="D62" s="498"/>
      <c r="E62" s="514">
        <v>5</v>
      </c>
      <c r="F62" s="488"/>
      <c r="G62" s="487"/>
      <c r="H62" s="498"/>
      <c r="I62" s="514"/>
      <c r="J62" s="488"/>
      <c r="K62" s="487"/>
      <c r="L62" s="498"/>
      <c r="M62" s="405"/>
      <c r="N62" s="408"/>
    </row>
    <row r="63" spans="1:14" ht="15" customHeight="1" x14ac:dyDescent="0.2">
      <c r="A63" s="230">
        <f t="shared" si="1"/>
        <v>48</v>
      </c>
      <c r="B63" s="568" t="s">
        <v>87</v>
      </c>
      <c r="C63" s="487">
        <f t="shared" si="3"/>
        <v>11.089</v>
      </c>
      <c r="D63" s="498"/>
      <c r="E63" s="570">
        <v>11.089</v>
      </c>
      <c r="F63" s="488"/>
      <c r="G63" s="487"/>
      <c r="H63" s="498"/>
      <c r="I63" s="514"/>
      <c r="J63" s="488"/>
      <c r="K63" s="487"/>
      <c r="L63" s="498"/>
      <c r="M63" s="405"/>
      <c r="N63" s="408"/>
    </row>
    <row r="64" spans="1:14" ht="25.5" customHeight="1" x14ac:dyDescent="0.2">
      <c r="A64" s="230">
        <f t="shared" si="1"/>
        <v>49</v>
      </c>
      <c r="B64" s="571" t="s">
        <v>284</v>
      </c>
      <c r="C64" s="405">
        <f t="shared" si="3"/>
        <v>25</v>
      </c>
      <c r="D64" s="498"/>
      <c r="E64" s="570">
        <v>25</v>
      </c>
      <c r="F64" s="488"/>
      <c r="G64" s="487"/>
      <c r="H64" s="498"/>
      <c r="I64" s="514"/>
      <c r="J64" s="488"/>
      <c r="K64" s="487"/>
      <c r="L64" s="498"/>
      <c r="M64" s="405"/>
      <c r="N64" s="408"/>
    </row>
    <row r="65" spans="1:14" ht="15" customHeight="1" x14ac:dyDescent="0.2">
      <c r="A65" s="314">
        <f t="shared" si="1"/>
        <v>50</v>
      </c>
      <c r="B65" s="571" t="s">
        <v>233</v>
      </c>
      <c r="C65" s="405">
        <f t="shared" si="3"/>
        <v>32.9</v>
      </c>
      <c r="D65" s="498"/>
      <c r="E65" s="570">
        <f>30+2.9</f>
        <v>32.9</v>
      </c>
      <c r="F65" s="488"/>
      <c r="G65" s="487"/>
      <c r="H65" s="498"/>
      <c r="I65" s="514"/>
      <c r="J65" s="488"/>
      <c r="K65" s="487"/>
      <c r="L65" s="498"/>
      <c r="M65" s="405"/>
      <c r="N65" s="408"/>
    </row>
    <row r="66" spans="1:14" ht="15" customHeight="1" x14ac:dyDescent="0.2">
      <c r="A66" s="230">
        <f t="shared" si="1"/>
        <v>51</v>
      </c>
      <c r="B66" s="571" t="s">
        <v>285</v>
      </c>
      <c r="C66" s="405">
        <f t="shared" si="3"/>
        <v>30</v>
      </c>
      <c r="D66" s="498"/>
      <c r="E66" s="570">
        <v>30</v>
      </c>
      <c r="F66" s="488"/>
      <c r="G66" s="487"/>
      <c r="H66" s="498"/>
      <c r="I66" s="514"/>
      <c r="J66" s="488"/>
      <c r="K66" s="487"/>
      <c r="L66" s="498"/>
      <c r="M66" s="405"/>
      <c r="N66" s="408"/>
    </row>
    <row r="67" spans="1:14" ht="27" customHeight="1" x14ac:dyDescent="0.2">
      <c r="A67" s="230">
        <f t="shared" si="1"/>
        <v>52</v>
      </c>
      <c r="B67" s="572" t="s">
        <v>286</v>
      </c>
      <c r="C67" s="546">
        <f t="shared" si="3"/>
        <v>20</v>
      </c>
      <c r="D67" s="498"/>
      <c r="E67" s="573">
        <v>20</v>
      </c>
      <c r="F67" s="574"/>
      <c r="G67" s="487"/>
      <c r="H67" s="498"/>
      <c r="I67" s="514"/>
      <c r="J67" s="488"/>
      <c r="K67" s="487"/>
      <c r="L67" s="498"/>
      <c r="M67" s="405"/>
      <c r="N67" s="408"/>
    </row>
    <row r="68" spans="1:14" ht="15" customHeight="1" x14ac:dyDescent="0.2">
      <c r="A68" s="230">
        <f t="shared" si="1"/>
        <v>53</v>
      </c>
      <c r="B68" s="571" t="s">
        <v>299</v>
      </c>
      <c r="C68" s="405">
        <f t="shared" si="3"/>
        <v>6.5</v>
      </c>
      <c r="D68" s="498"/>
      <c r="E68" s="570">
        <v>6.5</v>
      </c>
      <c r="F68" s="575"/>
      <c r="G68" s="487"/>
      <c r="H68" s="498"/>
      <c r="I68" s="514"/>
      <c r="J68" s="488"/>
      <c r="K68" s="487"/>
      <c r="L68" s="498"/>
      <c r="M68" s="405"/>
      <c r="N68" s="408"/>
    </row>
    <row r="69" spans="1:14" ht="15" customHeight="1" x14ac:dyDescent="0.2">
      <c r="A69" s="230">
        <f t="shared" si="1"/>
        <v>54</v>
      </c>
      <c r="B69" s="576" t="s">
        <v>302</v>
      </c>
      <c r="C69" s="577">
        <f t="shared" si="3"/>
        <v>7</v>
      </c>
      <c r="D69" s="547"/>
      <c r="E69" s="578">
        <v>7</v>
      </c>
      <c r="F69" s="579"/>
      <c r="G69" s="526"/>
      <c r="H69" s="580"/>
      <c r="I69" s="516"/>
      <c r="J69" s="527"/>
      <c r="K69" s="526"/>
      <c r="L69" s="580"/>
      <c r="M69" s="405"/>
      <c r="N69" s="408"/>
    </row>
    <row r="70" spans="1:14" ht="38.25" customHeight="1" x14ac:dyDescent="0.2">
      <c r="A70" s="230">
        <f t="shared" si="1"/>
        <v>55</v>
      </c>
      <c r="B70" s="571" t="s">
        <v>615</v>
      </c>
      <c r="C70" s="405">
        <f t="shared" si="3"/>
        <v>0</v>
      </c>
      <c r="D70" s="408"/>
      <c r="E70" s="570"/>
      <c r="F70" s="410"/>
      <c r="G70" s="405">
        <v>0</v>
      </c>
      <c r="H70" s="408"/>
      <c r="I70" s="570"/>
      <c r="J70" s="410"/>
      <c r="K70" s="405"/>
      <c r="L70" s="408"/>
      <c r="M70" s="405"/>
      <c r="N70" s="408"/>
    </row>
    <row r="71" spans="1:14" ht="30.75" customHeight="1" x14ac:dyDescent="0.2">
      <c r="A71" s="230">
        <f>A70+1</f>
        <v>56</v>
      </c>
      <c r="B71" s="464" t="s">
        <v>476</v>
      </c>
      <c r="C71" s="405"/>
      <c r="D71" s="408"/>
      <c r="E71" s="581">
        <v>1.2650999999999999</v>
      </c>
      <c r="F71" s="410"/>
      <c r="G71" s="566"/>
      <c r="H71" s="567"/>
      <c r="I71" s="582"/>
      <c r="J71" s="583"/>
      <c r="K71" s="405"/>
      <c r="L71" s="584"/>
      <c r="M71" s="405"/>
      <c r="N71" s="408"/>
    </row>
    <row r="72" spans="1:14" ht="15" customHeight="1" x14ac:dyDescent="0.2">
      <c r="A72" s="230">
        <f t="shared" ref="A72:A135" si="6">A71+1</f>
        <v>57</v>
      </c>
      <c r="B72" s="558" t="s">
        <v>277</v>
      </c>
      <c r="C72" s="478">
        <f t="shared" ref="C72:C84" si="7">+E72+G72+I72+K72</f>
        <v>661.529</v>
      </c>
      <c r="D72" s="494">
        <f t="shared" ref="D72:D84" si="8">+F72+H72+J72+L72</f>
        <v>574.81100000000004</v>
      </c>
      <c r="E72" s="561">
        <v>416.36099999999999</v>
      </c>
      <c r="F72" s="76">
        <v>369.11500000000001</v>
      </c>
      <c r="G72" s="77">
        <v>2.8159999999999998</v>
      </c>
      <c r="H72" s="78">
        <v>0.41</v>
      </c>
      <c r="I72" s="70">
        <v>213.352</v>
      </c>
      <c r="J72" s="78">
        <v>205.286</v>
      </c>
      <c r="K72" s="478">
        <v>29</v>
      </c>
      <c r="L72" s="494"/>
      <c r="M72" s="411"/>
      <c r="N72" s="412"/>
    </row>
    <row r="73" spans="1:14" ht="15" customHeight="1" x14ac:dyDescent="0.2">
      <c r="A73" s="230">
        <f t="shared" si="6"/>
        <v>58</v>
      </c>
      <c r="B73" s="585" t="s">
        <v>278</v>
      </c>
      <c r="C73" s="511">
        <f t="shared" si="7"/>
        <v>1049.597</v>
      </c>
      <c r="D73" s="496">
        <f t="shared" si="8"/>
        <v>893.63200000000006</v>
      </c>
      <c r="E73" s="537">
        <v>592.31799999999998</v>
      </c>
      <c r="F73" s="371">
        <v>507.66800000000001</v>
      </c>
      <c r="G73" s="419">
        <v>3.056</v>
      </c>
      <c r="H73" s="372">
        <v>0.94199999999999995</v>
      </c>
      <c r="I73" s="517">
        <v>399.19499999999999</v>
      </c>
      <c r="J73" s="23">
        <v>385.02199999999999</v>
      </c>
      <c r="K73" s="511">
        <v>55.027999999999999</v>
      </c>
      <c r="L73" s="496"/>
      <c r="M73" s="411"/>
      <c r="N73" s="412"/>
    </row>
    <row r="74" spans="1:14" ht="15" customHeight="1" x14ac:dyDescent="0.2">
      <c r="A74" s="230">
        <f t="shared" si="6"/>
        <v>59</v>
      </c>
      <c r="B74" s="585" t="s">
        <v>279</v>
      </c>
      <c r="C74" s="511">
        <f t="shared" si="7"/>
        <v>498.60199999999998</v>
      </c>
      <c r="D74" s="496">
        <f t="shared" si="8"/>
        <v>403.28999999999996</v>
      </c>
      <c r="E74" s="537">
        <v>307.49200000000002</v>
      </c>
      <c r="F74" s="371">
        <v>236.78100000000001</v>
      </c>
      <c r="G74" s="419">
        <v>7.774</v>
      </c>
      <c r="H74" s="372">
        <v>4.202</v>
      </c>
      <c r="I74" s="517">
        <v>167.816</v>
      </c>
      <c r="J74" s="23">
        <v>162.30699999999999</v>
      </c>
      <c r="K74" s="511">
        <v>15.52</v>
      </c>
      <c r="L74" s="496"/>
      <c r="M74" s="411"/>
      <c r="N74" s="412"/>
    </row>
    <row r="75" spans="1:14" ht="15" customHeight="1" x14ac:dyDescent="0.2">
      <c r="A75" s="230">
        <f t="shared" si="6"/>
        <v>60</v>
      </c>
      <c r="B75" s="585" t="s">
        <v>280</v>
      </c>
      <c r="C75" s="511">
        <f t="shared" si="7"/>
        <v>849.19900000000007</v>
      </c>
      <c r="D75" s="496">
        <f t="shared" si="8"/>
        <v>718.13499999999999</v>
      </c>
      <c r="E75" s="537">
        <v>455.21</v>
      </c>
      <c r="F75" s="371">
        <v>385.65199999999999</v>
      </c>
      <c r="G75" s="419">
        <v>0.70399999999999996</v>
      </c>
      <c r="H75" s="372">
        <v>0.10199999999999999</v>
      </c>
      <c r="I75" s="517">
        <v>345.28500000000003</v>
      </c>
      <c r="J75" s="371">
        <v>332.38099999999997</v>
      </c>
      <c r="K75" s="511">
        <v>48</v>
      </c>
      <c r="L75" s="496"/>
      <c r="M75" s="411"/>
      <c r="N75" s="412"/>
    </row>
    <row r="76" spans="1:14" ht="15" customHeight="1" x14ac:dyDescent="0.2">
      <c r="A76" s="230">
        <f t="shared" si="6"/>
        <v>61</v>
      </c>
      <c r="B76" s="585" t="s">
        <v>281</v>
      </c>
      <c r="C76" s="511">
        <f t="shared" si="7"/>
        <v>433.86700000000002</v>
      </c>
      <c r="D76" s="496">
        <f t="shared" si="8"/>
        <v>361.24099999999999</v>
      </c>
      <c r="E76" s="537">
        <v>217.37100000000001</v>
      </c>
      <c r="F76" s="371">
        <v>163.196</v>
      </c>
      <c r="G76" s="511"/>
      <c r="H76" s="496"/>
      <c r="I76" s="537">
        <v>203.29599999999999</v>
      </c>
      <c r="J76" s="512">
        <v>198.04499999999999</v>
      </c>
      <c r="K76" s="511">
        <v>13.2</v>
      </c>
      <c r="L76" s="496"/>
      <c r="M76" s="411"/>
      <c r="N76" s="412"/>
    </row>
    <row r="77" spans="1:14" ht="15" customHeight="1" x14ac:dyDescent="0.2">
      <c r="A77" s="230">
        <f t="shared" si="6"/>
        <v>62</v>
      </c>
      <c r="B77" s="585" t="s">
        <v>282</v>
      </c>
      <c r="C77" s="511">
        <f t="shared" si="7"/>
        <v>1148.9089999999999</v>
      </c>
      <c r="D77" s="496">
        <f t="shared" si="8"/>
        <v>975.38300000000004</v>
      </c>
      <c r="E77" s="537">
        <v>661.68700000000001</v>
      </c>
      <c r="F77" s="512">
        <v>564.96600000000001</v>
      </c>
      <c r="G77" s="487"/>
      <c r="H77" s="498"/>
      <c r="I77" s="537">
        <v>423.62200000000001</v>
      </c>
      <c r="J77" s="512">
        <v>410.41699999999997</v>
      </c>
      <c r="K77" s="511">
        <v>63.6</v>
      </c>
      <c r="L77" s="496"/>
      <c r="M77" s="411"/>
      <c r="N77" s="412"/>
    </row>
    <row r="78" spans="1:14" ht="15" customHeight="1" x14ac:dyDescent="0.2">
      <c r="A78" s="230">
        <f t="shared" si="6"/>
        <v>63</v>
      </c>
      <c r="B78" s="585" t="s">
        <v>18</v>
      </c>
      <c r="C78" s="511">
        <f t="shared" si="7"/>
        <v>1201.9549999999999</v>
      </c>
      <c r="D78" s="496">
        <f t="shared" si="8"/>
        <v>1086.002</v>
      </c>
      <c r="E78" s="537">
        <v>321.59899999999999</v>
      </c>
      <c r="F78" s="512">
        <v>251.923</v>
      </c>
      <c r="G78" s="511"/>
      <c r="H78" s="496"/>
      <c r="I78" s="517">
        <v>865.05600000000004</v>
      </c>
      <c r="J78" s="371">
        <v>834.07899999999995</v>
      </c>
      <c r="K78" s="511">
        <v>15.3</v>
      </c>
      <c r="L78" s="496"/>
      <c r="M78" s="411"/>
      <c r="N78" s="412"/>
    </row>
    <row r="79" spans="1:14" ht="15" customHeight="1" x14ac:dyDescent="0.2">
      <c r="A79" s="230">
        <f t="shared" si="6"/>
        <v>64</v>
      </c>
      <c r="B79" s="585" t="s">
        <v>252</v>
      </c>
      <c r="C79" s="511">
        <f t="shared" si="7"/>
        <v>161.488</v>
      </c>
      <c r="D79" s="496">
        <f t="shared" si="8"/>
        <v>148.828</v>
      </c>
      <c r="E79" s="537">
        <v>67.626999999999995</v>
      </c>
      <c r="F79" s="512">
        <v>62.917000000000002</v>
      </c>
      <c r="G79" s="487"/>
      <c r="H79" s="498"/>
      <c r="I79" s="537">
        <v>88.460999999999999</v>
      </c>
      <c r="J79" s="512">
        <v>85.911000000000001</v>
      </c>
      <c r="K79" s="511">
        <v>5.4</v>
      </c>
      <c r="L79" s="496"/>
      <c r="M79" s="411"/>
      <c r="N79" s="412"/>
    </row>
    <row r="80" spans="1:14" ht="15" customHeight="1" x14ac:dyDescent="0.2">
      <c r="A80" s="230">
        <f t="shared" si="6"/>
        <v>65</v>
      </c>
      <c r="B80" s="585" t="s">
        <v>287</v>
      </c>
      <c r="C80" s="511">
        <f t="shared" si="7"/>
        <v>2286.739</v>
      </c>
      <c r="D80" s="496">
        <f t="shared" si="8"/>
        <v>1988.8720000000001</v>
      </c>
      <c r="E80" s="586">
        <v>822.91499999999996</v>
      </c>
      <c r="F80" s="587">
        <v>644.68100000000004</v>
      </c>
      <c r="G80" s="511"/>
      <c r="H80" s="496"/>
      <c r="I80" s="517">
        <v>1389.8240000000001</v>
      </c>
      <c r="J80" s="371">
        <v>1344.191</v>
      </c>
      <c r="K80" s="511">
        <v>74</v>
      </c>
      <c r="L80" s="496"/>
      <c r="M80" s="411"/>
      <c r="N80" s="412"/>
    </row>
    <row r="81" spans="1:14" ht="15" customHeight="1" x14ac:dyDescent="0.2">
      <c r="A81" s="230">
        <f t="shared" si="6"/>
        <v>66</v>
      </c>
      <c r="B81" s="588" t="s">
        <v>294</v>
      </c>
      <c r="C81" s="511">
        <f t="shared" si="7"/>
        <v>276.35300000000001</v>
      </c>
      <c r="D81" s="496">
        <f t="shared" si="8"/>
        <v>267.7</v>
      </c>
      <c r="E81" s="537">
        <v>14.182</v>
      </c>
      <c r="F81" s="512">
        <v>13.978999999999999</v>
      </c>
      <c r="G81" s="511"/>
      <c r="H81" s="496"/>
      <c r="I81" s="537">
        <v>262.17099999999999</v>
      </c>
      <c r="J81" s="512">
        <v>253.721</v>
      </c>
      <c r="K81" s="511"/>
      <c r="L81" s="496"/>
      <c r="M81" s="411"/>
      <c r="N81" s="412"/>
    </row>
    <row r="82" spans="1:14" ht="27.75" customHeight="1" x14ac:dyDescent="0.2">
      <c r="A82" s="230">
        <f t="shared" si="6"/>
        <v>67</v>
      </c>
      <c r="B82" s="588" t="s">
        <v>293</v>
      </c>
      <c r="C82" s="511">
        <f t="shared" si="7"/>
        <v>15.612</v>
      </c>
      <c r="D82" s="496">
        <f t="shared" si="8"/>
        <v>14.1</v>
      </c>
      <c r="E82" s="537"/>
      <c r="F82" s="512"/>
      <c r="G82" s="511">
        <v>0.8</v>
      </c>
      <c r="H82" s="496"/>
      <c r="I82" s="537">
        <v>14.811999999999999</v>
      </c>
      <c r="J82" s="512">
        <v>14.1</v>
      </c>
      <c r="K82" s="511"/>
      <c r="L82" s="496"/>
      <c r="M82" s="411"/>
      <c r="N82" s="412"/>
    </row>
    <row r="83" spans="1:14" ht="15" customHeight="1" x14ac:dyDescent="0.2">
      <c r="A83" s="230">
        <f t="shared" si="6"/>
        <v>68</v>
      </c>
      <c r="B83" s="585" t="s">
        <v>102</v>
      </c>
      <c r="C83" s="511">
        <f t="shared" si="7"/>
        <v>2051.1109999999999</v>
      </c>
      <c r="D83" s="496">
        <f t="shared" si="8"/>
        <v>1813.165</v>
      </c>
      <c r="E83" s="537">
        <v>605.13599999999997</v>
      </c>
      <c r="F83" s="512">
        <v>449.06700000000001</v>
      </c>
      <c r="G83" s="419">
        <v>11.16</v>
      </c>
      <c r="H83" s="372">
        <v>10.999000000000001</v>
      </c>
      <c r="I83" s="517">
        <v>1405.8150000000001</v>
      </c>
      <c r="J83" s="371">
        <v>1353.0989999999999</v>
      </c>
      <c r="K83" s="511">
        <v>29</v>
      </c>
      <c r="L83" s="496"/>
      <c r="M83" s="411"/>
      <c r="N83" s="412"/>
    </row>
    <row r="84" spans="1:14" ht="15" customHeight="1" x14ac:dyDescent="0.2">
      <c r="A84" s="314">
        <f t="shared" si="6"/>
        <v>69</v>
      </c>
      <c r="B84" s="585" t="s">
        <v>20</v>
      </c>
      <c r="C84" s="511">
        <f t="shared" si="7"/>
        <v>1200.982</v>
      </c>
      <c r="D84" s="496">
        <f t="shared" si="8"/>
        <v>1017.313</v>
      </c>
      <c r="E84" s="537">
        <v>481.31099999999998</v>
      </c>
      <c r="F84" s="512">
        <v>341.05099999999999</v>
      </c>
      <c r="G84" s="419">
        <v>2.48</v>
      </c>
      <c r="H84" s="372">
        <v>2.444</v>
      </c>
      <c r="I84" s="517">
        <v>697.19100000000003</v>
      </c>
      <c r="J84" s="371">
        <v>673.81799999999998</v>
      </c>
      <c r="K84" s="511">
        <v>20</v>
      </c>
      <c r="L84" s="496"/>
      <c r="M84" s="411"/>
      <c r="N84" s="412"/>
    </row>
    <row r="85" spans="1:14" ht="15" customHeight="1" x14ac:dyDescent="0.2">
      <c r="A85" s="230">
        <f t="shared" si="6"/>
        <v>70</v>
      </c>
      <c r="B85" s="585" t="s">
        <v>148</v>
      </c>
      <c r="C85" s="511">
        <f>E85+G85+I85+K85</f>
        <v>75.569000000000003</v>
      </c>
      <c r="D85" s="496">
        <f>F85+H85+J85+L85</f>
        <v>68.942000000000007</v>
      </c>
      <c r="E85" s="537">
        <v>69.569000000000003</v>
      </c>
      <c r="F85" s="512">
        <v>67.742000000000004</v>
      </c>
      <c r="G85" s="511"/>
      <c r="H85" s="496"/>
      <c r="I85" s="537"/>
      <c r="J85" s="512"/>
      <c r="K85" s="511">
        <v>6</v>
      </c>
      <c r="L85" s="496">
        <v>1.2</v>
      </c>
      <c r="M85" s="411"/>
      <c r="N85" s="412"/>
    </row>
    <row r="86" spans="1:14" ht="15" customHeight="1" x14ac:dyDescent="0.2">
      <c r="A86" s="230">
        <f t="shared" si="6"/>
        <v>71</v>
      </c>
      <c r="B86" s="585" t="s">
        <v>21</v>
      </c>
      <c r="C86" s="511">
        <f t="shared" ref="C86:D89" si="9">+E86+G86+I86+K86</f>
        <v>1219.8830000000003</v>
      </c>
      <c r="D86" s="496">
        <f t="shared" si="9"/>
        <v>990.82799999999997</v>
      </c>
      <c r="E86" s="537">
        <v>544.02700000000004</v>
      </c>
      <c r="F86" s="371">
        <v>350.89699999999999</v>
      </c>
      <c r="G86" s="419">
        <v>1.24</v>
      </c>
      <c r="H86" s="372">
        <v>1.222</v>
      </c>
      <c r="I86" s="537">
        <v>661.21600000000001</v>
      </c>
      <c r="J86" s="23">
        <v>638.70899999999995</v>
      </c>
      <c r="K86" s="511">
        <v>13.4</v>
      </c>
      <c r="L86" s="496"/>
      <c r="M86" s="411"/>
      <c r="N86" s="412"/>
    </row>
    <row r="87" spans="1:14" ht="15" customHeight="1" x14ac:dyDescent="0.2">
      <c r="A87" s="314">
        <f t="shared" si="6"/>
        <v>72</v>
      </c>
      <c r="B87" s="585" t="s">
        <v>253</v>
      </c>
      <c r="C87" s="511">
        <f t="shared" si="9"/>
        <v>539.16500000000008</v>
      </c>
      <c r="D87" s="496">
        <f t="shared" si="9"/>
        <v>432.61400000000003</v>
      </c>
      <c r="E87" s="517">
        <v>270.06700000000001</v>
      </c>
      <c r="F87" s="512">
        <v>181.32900000000001</v>
      </c>
      <c r="G87" s="419">
        <v>6.3719999999999999</v>
      </c>
      <c r="H87" s="408"/>
      <c r="I87" s="537">
        <v>258.12599999999998</v>
      </c>
      <c r="J87" s="23">
        <v>251.285</v>
      </c>
      <c r="K87" s="511">
        <v>4.5999999999999996</v>
      </c>
      <c r="L87" s="496"/>
      <c r="M87" s="411"/>
      <c r="N87" s="412"/>
    </row>
    <row r="88" spans="1:14" ht="15" customHeight="1" x14ac:dyDescent="0.2">
      <c r="A88" s="230">
        <f t="shared" si="6"/>
        <v>73</v>
      </c>
      <c r="B88" s="585" t="s">
        <v>149</v>
      </c>
      <c r="C88" s="511">
        <f t="shared" si="9"/>
        <v>337.84499999999997</v>
      </c>
      <c r="D88" s="496">
        <f t="shared" si="9"/>
        <v>260.43399999999997</v>
      </c>
      <c r="E88" s="537">
        <v>208.43600000000001</v>
      </c>
      <c r="F88" s="371">
        <v>147.32</v>
      </c>
      <c r="G88" s="511"/>
      <c r="H88" s="496"/>
      <c r="I88" s="537">
        <v>116.709</v>
      </c>
      <c r="J88" s="23">
        <v>113.114</v>
      </c>
      <c r="K88" s="511">
        <v>12.7</v>
      </c>
      <c r="L88" s="496"/>
      <c r="M88" s="411"/>
      <c r="N88" s="412"/>
    </row>
    <row r="89" spans="1:14" ht="15" customHeight="1" x14ac:dyDescent="0.2">
      <c r="A89" s="230">
        <f t="shared" si="6"/>
        <v>74</v>
      </c>
      <c r="B89" s="589" t="s">
        <v>105</v>
      </c>
      <c r="C89" s="511">
        <f t="shared" si="9"/>
        <v>70.415000000000006</v>
      </c>
      <c r="D89" s="496">
        <f t="shared" si="9"/>
        <v>66.643999999999991</v>
      </c>
      <c r="E89" s="537">
        <v>68.215000000000003</v>
      </c>
      <c r="F89" s="371">
        <v>66.203999999999994</v>
      </c>
      <c r="G89" s="511"/>
      <c r="H89" s="496"/>
      <c r="I89" s="537"/>
      <c r="J89" s="512"/>
      <c r="K89" s="511">
        <v>2.2000000000000002</v>
      </c>
      <c r="L89" s="496">
        <v>0.44</v>
      </c>
      <c r="M89" s="411"/>
      <c r="N89" s="412"/>
    </row>
    <row r="90" spans="1:14" ht="15" customHeight="1" x14ac:dyDescent="0.2">
      <c r="A90" s="230">
        <f t="shared" si="6"/>
        <v>75</v>
      </c>
      <c r="B90" s="585" t="s">
        <v>22</v>
      </c>
      <c r="C90" s="511">
        <f>E90+G90+I90+K90</f>
        <v>977.43299999999999</v>
      </c>
      <c r="D90" s="496">
        <f>F90+H90+J90+L90</f>
        <v>840.38900000000001</v>
      </c>
      <c r="E90" s="537">
        <v>345.54</v>
      </c>
      <c r="F90" s="371">
        <v>245.52500000000001</v>
      </c>
      <c r="G90" s="405"/>
      <c r="H90" s="408"/>
      <c r="I90" s="517">
        <v>613.89300000000003</v>
      </c>
      <c r="J90" s="23">
        <v>594.86400000000003</v>
      </c>
      <c r="K90" s="511">
        <v>18</v>
      </c>
      <c r="L90" s="496"/>
      <c r="M90" s="411"/>
      <c r="N90" s="412"/>
    </row>
    <row r="91" spans="1:14" ht="15" customHeight="1" x14ac:dyDescent="0.2">
      <c r="A91" s="230">
        <f t="shared" si="6"/>
        <v>76</v>
      </c>
      <c r="B91" s="585" t="s">
        <v>254</v>
      </c>
      <c r="C91" s="511">
        <f>+E91+G91+I91+K91</f>
        <v>355.36199999999997</v>
      </c>
      <c r="D91" s="496">
        <f>+F91+H91+J91+L91</f>
        <v>294.09000000000003</v>
      </c>
      <c r="E91" s="537">
        <v>205.738</v>
      </c>
      <c r="F91" s="371">
        <v>166.25200000000001</v>
      </c>
      <c r="G91" s="419">
        <v>9.1820000000000004</v>
      </c>
      <c r="H91" s="372">
        <v>4.4080000000000004</v>
      </c>
      <c r="I91" s="517">
        <v>127.622</v>
      </c>
      <c r="J91" s="23">
        <v>123.43</v>
      </c>
      <c r="K91" s="511">
        <v>12.82</v>
      </c>
      <c r="L91" s="496"/>
      <c r="M91" s="411"/>
      <c r="N91" s="412"/>
    </row>
    <row r="92" spans="1:14" ht="15" customHeight="1" x14ac:dyDescent="0.2">
      <c r="A92" s="230">
        <f t="shared" si="6"/>
        <v>77</v>
      </c>
      <c r="B92" s="585" t="s">
        <v>151</v>
      </c>
      <c r="C92" s="511">
        <f>E92+G92+I92+K92</f>
        <v>61.454000000000001</v>
      </c>
      <c r="D92" s="496">
        <f>F92+H92+J92+L92</f>
        <v>57.839000000000006</v>
      </c>
      <c r="E92" s="537">
        <v>58.853999999999999</v>
      </c>
      <c r="F92" s="371">
        <v>57.319000000000003</v>
      </c>
      <c r="G92" s="405"/>
      <c r="H92" s="408"/>
      <c r="I92" s="517"/>
      <c r="J92" s="371"/>
      <c r="K92" s="511">
        <v>2.6</v>
      </c>
      <c r="L92" s="496">
        <v>0.52</v>
      </c>
      <c r="M92" s="411"/>
      <c r="N92" s="412"/>
    </row>
    <row r="93" spans="1:14" ht="15" customHeight="1" x14ac:dyDescent="0.2">
      <c r="A93" s="230">
        <f t="shared" si="6"/>
        <v>78</v>
      </c>
      <c r="B93" s="585" t="s">
        <v>107</v>
      </c>
      <c r="C93" s="511">
        <f t="shared" ref="C93:C102" si="10">+E93+G93+I93+K93</f>
        <v>1336.0149999999999</v>
      </c>
      <c r="D93" s="496">
        <f t="shared" ref="D93:D102" si="11">+F93+H93+J93+L93</f>
        <v>1064.2269999999999</v>
      </c>
      <c r="E93" s="537">
        <v>621.63099999999997</v>
      </c>
      <c r="F93" s="512">
        <v>392.15499999999997</v>
      </c>
      <c r="G93" s="405"/>
      <c r="H93" s="408"/>
      <c r="I93" s="517">
        <v>695.38400000000001</v>
      </c>
      <c r="J93" s="371">
        <v>672.072</v>
      </c>
      <c r="K93" s="511">
        <v>19</v>
      </c>
      <c r="L93" s="496"/>
      <c r="M93" s="411"/>
      <c r="N93" s="412"/>
    </row>
    <row r="94" spans="1:14" ht="15" customHeight="1" x14ac:dyDescent="0.2">
      <c r="A94" s="230">
        <f t="shared" si="6"/>
        <v>79</v>
      </c>
      <c r="B94" s="585" t="s">
        <v>34</v>
      </c>
      <c r="C94" s="511">
        <f t="shared" si="10"/>
        <v>564.57399999999996</v>
      </c>
      <c r="D94" s="496">
        <f t="shared" si="11"/>
        <v>489.80900000000003</v>
      </c>
      <c r="E94" s="537">
        <v>120.227</v>
      </c>
      <c r="F94" s="512">
        <v>92.34</v>
      </c>
      <c r="G94" s="419">
        <v>134.9</v>
      </c>
      <c r="H94" s="372">
        <v>100.893</v>
      </c>
      <c r="I94" s="537">
        <v>302.34699999999998</v>
      </c>
      <c r="J94" s="512">
        <v>296.57600000000002</v>
      </c>
      <c r="K94" s="511">
        <v>7.1</v>
      </c>
      <c r="L94" s="496"/>
      <c r="M94" s="411"/>
      <c r="N94" s="412"/>
    </row>
    <row r="95" spans="1:14" ht="15" customHeight="1" x14ac:dyDescent="0.2">
      <c r="A95" s="230">
        <f t="shared" si="6"/>
        <v>80</v>
      </c>
      <c r="B95" s="585" t="s">
        <v>108</v>
      </c>
      <c r="C95" s="511">
        <f t="shared" si="10"/>
        <v>663.16399999999999</v>
      </c>
      <c r="D95" s="496">
        <f t="shared" si="11"/>
        <v>603.60699999999997</v>
      </c>
      <c r="E95" s="517">
        <v>598.16399999999999</v>
      </c>
      <c r="F95" s="371">
        <v>566.06399999999996</v>
      </c>
      <c r="G95" s="511"/>
      <c r="H95" s="496"/>
      <c r="I95" s="537">
        <v>32</v>
      </c>
      <c r="J95" s="512">
        <v>31.542999999999999</v>
      </c>
      <c r="K95" s="511">
        <v>33</v>
      </c>
      <c r="L95" s="496">
        <v>6</v>
      </c>
      <c r="M95" s="411"/>
      <c r="N95" s="412"/>
    </row>
    <row r="96" spans="1:14" ht="15" customHeight="1" x14ac:dyDescent="0.2">
      <c r="A96" s="230">
        <f t="shared" si="6"/>
        <v>81</v>
      </c>
      <c r="B96" s="585" t="s">
        <v>256</v>
      </c>
      <c r="C96" s="511">
        <f t="shared" si="10"/>
        <v>233.506</v>
      </c>
      <c r="D96" s="496">
        <f t="shared" si="11"/>
        <v>210.44300000000001</v>
      </c>
      <c r="E96" s="517">
        <v>200.506</v>
      </c>
      <c r="F96" s="371">
        <v>189.96</v>
      </c>
      <c r="G96" s="487"/>
      <c r="H96" s="498"/>
      <c r="I96" s="537">
        <v>18</v>
      </c>
      <c r="J96" s="512">
        <v>17.742999999999999</v>
      </c>
      <c r="K96" s="511">
        <v>15</v>
      </c>
      <c r="L96" s="496">
        <v>2.74</v>
      </c>
      <c r="M96" s="411"/>
      <c r="N96" s="412"/>
    </row>
    <row r="97" spans="1:14" ht="15" customHeight="1" x14ac:dyDescent="0.2">
      <c r="A97" s="230">
        <f t="shared" si="6"/>
        <v>82</v>
      </c>
      <c r="B97" s="585" t="s">
        <v>255</v>
      </c>
      <c r="C97" s="511">
        <f t="shared" si="10"/>
        <v>328.13</v>
      </c>
      <c r="D97" s="496">
        <f t="shared" si="11"/>
        <v>279.78499999999997</v>
      </c>
      <c r="E97" s="517">
        <v>302.548</v>
      </c>
      <c r="F97" s="512">
        <v>267.40499999999997</v>
      </c>
      <c r="G97" s="511"/>
      <c r="H97" s="496"/>
      <c r="I97" s="537">
        <v>11.282</v>
      </c>
      <c r="J97" s="512">
        <v>11.12</v>
      </c>
      <c r="K97" s="511">
        <v>14.3</v>
      </c>
      <c r="L97" s="496">
        <v>1.26</v>
      </c>
      <c r="M97" s="411"/>
      <c r="N97" s="412"/>
    </row>
    <row r="98" spans="1:14" ht="15" customHeight="1" x14ac:dyDescent="0.2">
      <c r="A98" s="314">
        <f t="shared" si="6"/>
        <v>83</v>
      </c>
      <c r="B98" s="590" t="s">
        <v>23</v>
      </c>
      <c r="C98" s="495">
        <f t="shared" si="10"/>
        <v>236.97593000000001</v>
      </c>
      <c r="D98" s="591">
        <f t="shared" si="11"/>
        <v>197.92099999999999</v>
      </c>
      <c r="E98" s="592">
        <v>167.54477</v>
      </c>
      <c r="F98" s="593">
        <v>152.65683999999999</v>
      </c>
      <c r="G98" s="492"/>
      <c r="H98" s="594"/>
      <c r="I98" s="592">
        <v>45.823160000000001</v>
      </c>
      <c r="J98" s="593">
        <v>45.264159999999997</v>
      </c>
      <c r="K98" s="511">
        <v>23.608000000000001</v>
      </c>
      <c r="L98" s="496"/>
      <c r="M98" s="411"/>
      <c r="N98" s="412"/>
    </row>
    <row r="99" spans="1:14" ht="15" customHeight="1" x14ac:dyDescent="0.2">
      <c r="A99" s="314">
        <f t="shared" si="6"/>
        <v>84</v>
      </c>
      <c r="B99" s="588" t="s">
        <v>664</v>
      </c>
      <c r="C99" s="511">
        <f t="shared" si="10"/>
        <v>0</v>
      </c>
      <c r="D99" s="496">
        <f t="shared" si="11"/>
        <v>0</v>
      </c>
      <c r="E99" s="517">
        <v>0</v>
      </c>
      <c r="F99" s="371">
        <v>0</v>
      </c>
      <c r="G99" s="487"/>
      <c r="H99" s="498"/>
      <c r="I99" s="419">
        <v>0</v>
      </c>
      <c r="J99" s="372">
        <v>0</v>
      </c>
      <c r="K99" s="511">
        <v>0</v>
      </c>
      <c r="L99" s="496"/>
      <c r="M99" s="411"/>
      <c r="N99" s="412"/>
    </row>
    <row r="100" spans="1:14" ht="15" customHeight="1" x14ac:dyDescent="0.2">
      <c r="A100" s="314">
        <f t="shared" si="6"/>
        <v>85</v>
      </c>
      <c r="B100" s="590" t="s">
        <v>24</v>
      </c>
      <c r="C100" s="495">
        <f t="shared" si="10"/>
        <v>113.13807</v>
      </c>
      <c r="D100" s="591">
        <f t="shared" si="11"/>
        <v>91.94</v>
      </c>
      <c r="E100" s="595">
        <v>41.150230000000001</v>
      </c>
      <c r="F100" s="596">
        <v>27.488160000000001</v>
      </c>
      <c r="G100" s="492"/>
      <c r="H100" s="594"/>
      <c r="I100" s="370">
        <v>71.595839999999995</v>
      </c>
      <c r="J100" s="432">
        <v>64.451840000000004</v>
      </c>
      <c r="K100" s="511">
        <v>0.39200000000000002</v>
      </c>
      <c r="L100" s="496"/>
      <c r="M100" s="411"/>
      <c r="N100" s="412"/>
    </row>
    <row r="101" spans="1:14" ht="15" customHeight="1" x14ac:dyDescent="0.2">
      <c r="A101" s="230">
        <f t="shared" si="6"/>
        <v>86</v>
      </c>
      <c r="B101" s="585" t="s">
        <v>109</v>
      </c>
      <c r="C101" s="511">
        <f t="shared" si="10"/>
        <v>453.95000000000005</v>
      </c>
      <c r="D101" s="496">
        <f t="shared" si="11"/>
        <v>379.75600000000003</v>
      </c>
      <c r="E101" s="597">
        <v>309.65300000000002</v>
      </c>
      <c r="F101" s="436">
        <v>263.072</v>
      </c>
      <c r="G101" s="419">
        <v>7.774</v>
      </c>
      <c r="H101" s="372">
        <v>4.202</v>
      </c>
      <c r="I101" s="517">
        <v>115.303</v>
      </c>
      <c r="J101" s="371">
        <v>111.40600000000001</v>
      </c>
      <c r="K101" s="511">
        <v>21.22</v>
      </c>
      <c r="L101" s="496">
        <v>1.0760000000000001</v>
      </c>
      <c r="M101" s="411"/>
      <c r="N101" s="412"/>
    </row>
    <row r="102" spans="1:14" ht="15" customHeight="1" x14ac:dyDescent="0.2">
      <c r="A102" s="230">
        <f t="shared" si="6"/>
        <v>87</v>
      </c>
      <c r="B102" s="585" t="s">
        <v>153</v>
      </c>
      <c r="C102" s="511">
        <f t="shared" si="10"/>
        <v>311.68700000000001</v>
      </c>
      <c r="D102" s="515">
        <f t="shared" si="11"/>
        <v>252.405</v>
      </c>
      <c r="E102" s="537">
        <v>233.31399999999999</v>
      </c>
      <c r="F102" s="512">
        <v>185.35900000000001</v>
      </c>
      <c r="G102" s="419">
        <v>7.07</v>
      </c>
      <c r="H102" s="372">
        <v>4.0999999999999996</v>
      </c>
      <c r="I102" s="419">
        <v>65.302999999999997</v>
      </c>
      <c r="J102" s="372">
        <v>62.945999999999998</v>
      </c>
      <c r="K102" s="511">
        <v>6</v>
      </c>
      <c r="L102" s="496"/>
      <c r="M102" s="411"/>
      <c r="N102" s="412"/>
    </row>
    <row r="103" spans="1:14" ht="15" customHeight="1" x14ac:dyDescent="0.2">
      <c r="A103" s="230">
        <f t="shared" si="6"/>
        <v>88</v>
      </c>
      <c r="B103" s="585" t="s">
        <v>5</v>
      </c>
      <c r="C103" s="511">
        <f>E103+G103+I103+K103</f>
        <v>678.17200000000003</v>
      </c>
      <c r="D103" s="496">
        <f>F103+H103+J103+L103</f>
        <v>450.72999999999996</v>
      </c>
      <c r="E103" s="537">
        <v>657.17200000000003</v>
      </c>
      <c r="F103" s="512">
        <v>446.59</v>
      </c>
      <c r="G103" s="511"/>
      <c r="H103" s="496"/>
      <c r="I103" s="561"/>
      <c r="J103" s="493"/>
      <c r="K103" s="419">
        <v>21</v>
      </c>
      <c r="L103" s="372">
        <v>4.1399999999999997</v>
      </c>
      <c r="M103" s="411"/>
      <c r="N103" s="412"/>
    </row>
    <row r="104" spans="1:14" ht="15" customHeight="1" x14ac:dyDescent="0.2">
      <c r="A104" s="230">
        <f t="shared" si="6"/>
        <v>89</v>
      </c>
      <c r="B104" s="588" t="s">
        <v>259</v>
      </c>
      <c r="C104" s="511">
        <f>E104+G104+I104+K104</f>
        <v>1.381</v>
      </c>
      <c r="D104" s="496"/>
      <c r="E104" s="537">
        <v>1.381</v>
      </c>
      <c r="F104" s="512"/>
      <c r="G104" s="511"/>
      <c r="H104" s="496"/>
      <c r="I104" s="537"/>
      <c r="J104" s="512"/>
      <c r="K104" s="598"/>
      <c r="L104" s="599"/>
      <c r="M104" s="411"/>
      <c r="N104" s="412"/>
    </row>
    <row r="105" spans="1:14" ht="15" customHeight="1" x14ac:dyDescent="0.2">
      <c r="A105" s="230">
        <f t="shared" si="6"/>
        <v>90</v>
      </c>
      <c r="B105" s="585" t="s">
        <v>7</v>
      </c>
      <c r="C105" s="511">
        <f t="shared" ref="C105:C145" si="12">E105+G105+I105+K105</f>
        <v>4.17</v>
      </c>
      <c r="D105" s="496"/>
      <c r="E105" s="537">
        <v>4.17</v>
      </c>
      <c r="F105" s="512"/>
      <c r="G105" s="487"/>
      <c r="H105" s="498"/>
      <c r="I105" s="537"/>
      <c r="J105" s="512"/>
      <c r="K105" s="511"/>
      <c r="L105" s="496"/>
      <c r="M105" s="411"/>
      <c r="N105" s="412"/>
    </row>
    <row r="106" spans="1:14" ht="15" customHeight="1" x14ac:dyDescent="0.2">
      <c r="A106" s="230">
        <f t="shared" si="6"/>
        <v>91</v>
      </c>
      <c r="B106" s="585" t="s">
        <v>8</v>
      </c>
      <c r="C106" s="511">
        <f t="shared" si="12"/>
        <v>19.785</v>
      </c>
      <c r="D106" s="496"/>
      <c r="E106" s="537">
        <v>19.785</v>
      </c>
      <c r="F106" s="512"/>
      <c r="G106" s="487"/>
      <c r="H106" s="498"/>
      <c r="I106" s="537"/>
      <c r="J106" s="512"/>
      <c r="K106" s="511"/>
      <c r="L106" s="496"/>
      <c r="M106" s="411"/>
      <c r="N106" s="412"/>
    </row>
    <row r="107" spans="1:14" ht="15" customHeight="1" x14ac:dyDescent="0.2">
      <c r="A107" s="230">
        <f t="shared" si="6"/>
        <v>92</v>
      </c>
      <c r="B107" s="585" t="s">
        <v>9</v>
      </c>
      <c r="C107" s="511">
        <f t="shared" si="12"/>
        <v>4.1970000000000001</v>
      </c>
      <c r="D107" s="496"/>
      <c r="E107" s="537">
        <v>4.1970000000000001</v>
      </c>
      <c r="F107" s="512"/>
      <c r="G107" s="487"/>
      <c r="H107" s="498"/>
      <c r="I107" s="537"/>
      <c r="J107" s="512"/>
      <c r="K107" s="487"/>
      <c r="L107" s="498"/>
      <c r="M107" s="411"/>
      <c r="N107" s="412"/>
    </row>
    <row r="108" spans="1:14" ht="15" customHeight="1" x14ac:dyDescent="0.2">
      <c r="A108" s="230">
        <f t="shared" si="6"/>
        <v>93</v>
      </c>
      <c r="B108" s="585" t="s">
        <v>10</v>
      </c>
      <c r="C108" s="511">
        <f t="shared" si="12"/>
        <v>3.65</v>
      </c>
      <c r="D108" s="496"/>
      <c r="E108" s="537">
        <v>3.65</v>
      </c>
      <c r="F108" s="512"/>
      <c r="G108" s="487"/>
      <c r="H108" s="498"/>
      <c r="I108" s="537"/>
      <c r="J108" s="512"/>
      <c r="K108" s="487"/>
      <c r="L108" s="498"/>
      <c r="M108" s="411"/>
      <c r="N108" s="412"/>
    </row>
    <row r="109" spans="1:14" ht="15" customHeight="1" thickBot="1" x14ac:dyDescent="0.25">
      <c r="A109" s="234">
        <f t="shared" si="6"/>
        <v>94</v>
      </c>
      <c r="B109" s="585" t="s">
        <v>11</v>
      </c>
      <c r="C109" s="540">
        <f t="shared" si="12"/>
        <v>2.9569999999999999</v>
      </c>
      <c r="D109" s="541"/>
      <c r="E109" s="545">
        <v>2.9569999999999999</v>
      </c>
      <c r="F109" s="539"/>
      <c r="G109" s="600"/>
      <c r="H109" s="601"/>
      <c r="I109" s="602"/>
      <c r="J109" s="603"/>
      <c r="K109" s="600"/>
      <c r="L109" s="601"/>
      <c r="M109" s="437"/>
      <c r="N109" s="438"/>
    </row>
    <row r="110" spans="1:14" ht="30" customHeight="1" thickBot="1" x14ac:dyDescent="0.25">
      <c r="A110" s="229">
        <f t="shared" si="6"/>
        <v>95</v>
      </c>
      <c r="B110" s="604" t="s">
        <v>243</v>
      </c>
      <c r="C110" s="605">
        <f>E110+G110+I110+K110</f>
        <v>4228.9680000000008</v>
      </c>
      <c r="D110" s="606">
        <f t="shared" ref="D110" si="13">F110+H110+J110+L110</f>
        <v>2803.1939999999995</v>
      </c>
      <c r="E110" s="66">
        <f>E111+E118+SUM(E132:E147)+E127</f>
        <v>3886.6730000000002</v>
      </c>
      <c r="F110" s="58">
        <f>F111+F118+SUM(F132:F147)</f>
        <v>2785.4599999999996</v>
      </c>
      <c r="G110" s="65">
        <f>G134+G147</f>
        <v>34.695</v>
      </c>
      <c r="H110" s="607"/>
      <c r="I110" s="608"/>
      <c r="J110" s="609"/>
      <c r="K110" s="65">
        <f>K111+SUM(K132:K147)</f>
        <v>307.60000000000002</v>
      </c>
      <c r="L110" s="55">
        <f>L111+SUM(L132:L147)</f>
        <v>17.734000000000002</v>
      </c>
      <c r="M110" s="556"/>
      <c r="N110" s="557"/>
    </row>
    <row r="111" spans="1:14" ht="15" customHeight="1" x14ac:dyDescent="0.2">
      <c r="A111" s="230">
        <f t="shared" si="6"/>
        <v>96</v>
      </c>
      <c r="B111" s="418" t="s">
        <v>276</v>
      </c>
      <c r="C111" s="559">
        <f t="shared" si="12"/>
        <v>115.5</v>
      </c>
      <c r="D111" s="560"/>
      <c r="E111" s="561">
        <f>SUM(E112:E117)</f>
        <v>115.5</v>
      </c>
      <c r="F111" s="494"/>
      <c r="G111" s="610"/>
      <c r="H111" s="611"/>
      <c r="I111" s="610"/>
      <c r="J111" s="611"/>
      <c r="K111" s="520"/>
      <c r="L111" s="612"/>
      <c r="M111" s="566"/>
      <c r="N111" s="567"/>
    </row>
    <row r="112" spans="1:14" ht="15" customHeight="1" x14ac:dyDescent="0.2">
      <c r="A112" s="230">
        <f t="shared" si="6"/>
        <v>97</v>
      </c>
      <c r="B112" s="569" t="s">
        <v>82</v>
      </c>
      <c r="C112" s="405">
        <f t="shared" si="12"/>
        <v>35</v>
      </c>
      <c r="D112" s="408"/>
      <c r="E112" s="570">
        <v>35</v>
      </c>
      <c r="F112" s="494"/>
      <c r="G112" s="610"/>
      <c r="H112" s="611"/>
      <c r="I112" s="610"/>
      <c r="J112" s="611"/>
      <c r="K112" s="520"/>
      <c r="L112" s="612"/>
      <c r="M112" s="405"/>
      <c r="N112" s="408"/>
    </row>
    <row r="113" spans="1:14" ht="15" customHeight="1" x14ac:dyDescent="0.2">
      <c r="A113" s="230">
        <f t="shared" si="6"/>
        <v>98</v>
      </c>
      <c r="B113" s="569" t="s">
        <v>244</v>
      </c>
      <c r="C113" s="405">
        <f t="shared" si="12"/>
        <v>4</v>
      </c>
      <c r="D113" s="408"/>
      <c r="E113" s="570">
        <v>4</v>
      </c>
      <c r="F113" s="494"/>
      <c r="G113" s="610"/>
      <c r="H113" s="611"/>
      <c r="I113" s="610"/>
      <c r="J113" s="611"/>
      <c r="K113" s="520"/>
      <c r="L113" s="612"/>
      <c r="M113" s="405"/>
      <c r="N113" s="408"/>
    </row>
    <row r="114" spans="1:14" ht="15" customHeight="1" x14ac:dyDescent="0.2">
      <c r="A114" s="230">
        <f t="shared" si="6"/>
        <v>99</v>
      </c>
      <c r="B114" s="576" t="s">
        <v>266</v>
      </c>
      <c r="C114" s="405">
        <f t="shared" si="12"/>
        <v>18.5</v>
      </c>
      <c r="D114" s="498"/>
      <c r="E114" s="570">
        <v>18.5</v>
      </c>
      <c r="F114" s="494"/>
      <c r="G114" s="610"/>
      <c r="H114" s="611"/>
      <c r="I114" s="610"/>
      <c r="J114" s="611"/>
      <c r="K114" s="520"/>
      <c r="L114" s="612"/>
      <c r="M114" s="405"/>
      <c r="N114" s="408"/>
    </row>
    <row r="115" spans="1:14" ht="15" customHeight="1" x14ac:dyDescent="0.2">
      <c r="A115" s="230">
        <f t="shared" si="6"/>
        <v>100</v>
      </c>
      <c r="B115" s="571" t="s">
        <v>225</v>
      </c>
      <c r="C115" s="405">
        <f t="shared" si="12"/>
        <v>20</v>
      </c>
      <c r="D115" s="498"/>
      <c r="E115" s="570">
        <v>20</v>
      </c>
      <c r="F115" s="494"/>
      <c r="G115" s="610"/>
      <c r="H115" s="611"/>
      <c r="I115" s="610"/>
      <c r="J115" s="611"/>
      <c r="K115" s="520"/>
      <c r="L115" s="612"/>
      <c r="M115" s="405"/>
      <c r="N115" s="408"/>
    </row>
    <row r="116" spans="1:14" ht="15" customHeight="1" x14ac:dyDescent="0.2">
      <c r="A116" s="230">
        <f t="shared" si="6"/>
        <v>101</v>
      </c>
      <c r="B116" s="571" t="s">
        <v>222</v>
      </c>
      <c r="C116" s="405">
        <f t="shared" si="12"/>
        <v>4</v>
      </c>
      <c r="D116" s="498"/>
      <c r="E116" s="570">
        <v>4</v>
      </c>
      <c r="F116" s="494"/>
      <c r="G116" s="610"/>
      <c r="H116" s="611"/>
      <c r="I116" s="610"/>
      <c r="J116" s="611"/>
      <c r="K116" s="520"/>
      <c r="L116" s="612"/>
      <c r="M116" s="405"/>
      <c r="N116" s="408"/>
    </row>
    <row r="117" spans="1:14" ht="15" customHeight="1" x14ac:dyDescent="0.2">
      <c r="A117" s="230">
        <f t="shared" si="6"/>
        <v>102</v>
      </c>
      <c r="B117" s="613" t="s">
        <v>231</v>
      </c>
      <c r="C117" s="405">
        <f t="shared" si="12"/>
        <v>34</v>
      </c>
      <c r="D117" s="498"/>
      <c r="E117" s="570">
        <v>34</v>
      </c>
      <c r="F117" s="494"/>
      <c r="G117" s="610"/>
      <c r="H117" s="611"/>
      <c r="I117" s="610"/>
      <c r="J117" s="611"/>
      <c r="K117" s="520"/>
      <c r="L117" s="612"/>
      <c r="M117" s="405"/>
      <c r="N117" s="408"/>
    </row>
    <row r="118" spans="1:14" ht="15" customHeight="1" x14ac:dyDescent="0.2">
      <c r="A118" s="230">
        <f t="shared" si="6"/>
        <v>103</v>
      </c>
      <c r="B118" s="528" t="s">
        <v>265</v>
      </c>
      <c r="C118" s="419">
        <f t="shared" si="12"/>
        <v>231.3</v>
      </c>
      <c r="D118" s="408"/>
      <c r="E118" s="517">
        <f>SUM(E119:E126)</f>
        <v>231.3</v>
      </c>
      <c r="F118" s="494"/>
      <c r="G118" s="610"/>
      <c r="H118" s="611"/>
      <c r="I118" s="610"/>
      <c r="J118" s="611"/>
      <c r="K118" s="520"/>
      <c r="L118" s="612"/>
      <c r="M118" s="405"/>
      <c r="N118" s="408"/>
    </row>
    <row r="119" spans="1:14" ht="15" customHeight="1" x14ac:dyDescent="0.2">
      <c r="A119" s="230">
        <f t="shared" si="6"/>
        <v>104</v>
      </c>
      <c r="B119" s="571" t="s">
        <v>67</v>
      </c>
      <c r="C119" s="405">
        <f t="shared" si="12"/>
        <v>16</v>
      </c>
      <c r="D119" s="408"/>
      <c r="E119" s="570">
        <v>16</v>
      </c>
      <c r="F119" s="498"/>
      <c r="G119" s="487"/>
      <c r="H119" s="498"/>
      <c r="I119" s="487"/>
      <c r="J119" s="498"/>
      <c r="K119" s="514"/>
      <c r="L119" s="488"/>
      <c r="M119" s="405"/>
      <c r="N119" s="408"/>
    </row>
    <row r="120" spans="1:14" ht="15" customHeight="1" x14ac:dyDescent="0.2">
      <c r="A120" s="230">
        <f t="shared" si="6"/>
        <v>105</v>
      </c>
      <c r="B120" s="571" t="s">
        <v>267</v>
      </c>
      <c r="C120" s="405">
        <f t="shared" si="12"/>
        <v>65</v>
      </c>
      <c r="D120" s="408"/>
      <c r="E120" s="570">
        <v>65</v>
      </c>
      <c r="F120" s="498"/>
      <c r="G120" s="487"/>
      <c r="H120" s="498"/>
      <c r="I120" s="487"/>
      <c r="J120" s="498"/>
      <c r="K120" s="514"/>
      <c r="L120" s="488"/>
      <c r="M120" s="405"/>
      <c r="N120" s="408"/>
    </row>
    <row r="121" spans="1:14" ht="15" customHeight="1" x14ac:dyDescent="0.2">
      <c r="A121" s="230">
        <f t="shared" si="6"/>
        <v>106</v>
      </c>
      <c r="B121" s="571" t="s">
        <v>68</v>
      </c>
      <c r="C121" s="405">
        <f t="shared" si="12"/>
        <v>16</v>
      </c>
      <c r="D121" s="408"/>
      <c r="E121" s="570">
        <v>16</v>
      </c>
      <c r="F121" s="498"/>
      <c r="G121" s="487"/>
      <c r="H121" s="498"/>
      <c r="I121" s="487"/>
      <c r="J121" s="498"/>
      <c r="K121" s="514"/>
      <c r="L121" s="488"/>
      <c r="M121" s="405"/>
      <c r="N121" s="408"/>
    </row>
    <row r="122" spans="1:14" ht="15" customHeight="1" x14ac:dyDescent="0.2">
      <c r="A122" s="230">
        <f t="shared" si="6"/>
        <v>107</v>
      </c>
      <c r="B122" s="571" t="s">
        <v>268</v>
      </c>
      <c r="C122" s="405">
        <f t="shared" si="12"/>
        <v>45</v>
      </c>
      <c r="D122" s="408"/>
      <c r="E122" s="570">
        <v>45</v>
      </c>
      <c r="F122" s="498"/>
      <c r="G122" s="487"/>
      <c r="H122" s="498"/>
      <c r="I122" s="487"/>
      <c r="J122" s="498"/>
      <c r="K122" s="514"/>
      <c r="L122" s="488"/>
      <c r="M122" s="405"/>
      <c r="N122" s="408"/>
    </row>
    <row r="123" spans="1:14" ht="27.75" customHeight="1" x14ac:dyDescent="0.2">
      <c r="A123" s="230">
        <f t="shared" si="6"/>
        <v>108</v>
      </c>
      <c r="B123" s="571" t="s">
        <v>271</v>
      </c>
      <c r="C123" s="405">
        <f t="shared" si="12"/>
        <v>15</v>
      </c>
      <c r="D123" s="408"/>
      <c r="E123" s="570">
        <v>15</v>
      </c>
      <c r="F123" s="498"/>
      <c r="G123" s="487"/>
      <c r="H123" s="498"/>
      <c r="I123" s="487"/>
      <c r="J123" s="498"/>
      <c r="K123" s="514"/>
      <c r="L123" s="488"/>
      <c r="M123" s="405"/>
      <c r="N123" s="408"/>
    </row>
    <row r="124" spans="1:14" ht="15" customHeight="1" x14ac:dyDescent="0.2">
      <c r="A124" s="230">
        <f t="shared" si="6"/>
        <v>109</v>
      </c>
      <c r="B124" s="571" t="s">
        <v>269</v>
      </c>
      <c r="C124" s="405">
        <f t="shared" si="12"/>
        <v>20</v>
      </c>
      <c r="D124" s="408"/>
      <c r="E124" s="570">
        <v>20</v>
      </c>
      <c r="F124" s="498"/>
      <c r="G124" s="487"/>
      <c r="H124" s="498"/>
      <c r="I124" s="487"/>
      <c r="J124" s="498"/>
      <c r="K124" s="514"/>
      <c r="L124" s="488"/>
      <c r="M124" s="405"/>
      <c r="N124" s="408"/>
    </row>
    <row r="125" spans="1:14" ht="15" customHeight="1" x14ac:dyDescent="0.2">
      <c r="A125" s="230">
        <f t="shared" si="6"/>
        <v>110</v>
      </c>
      <c r="B125" s="571" t="s">
        <v>270</v>
      </c>
      <c r="C125" s="405">
        <f t="shared" si="12"/>
        <v>11</v>
      </c>
      <c r="D125" s="408"/>
      <c r="E125" s="570">
        <v>11</v>
      </c>
      <c r="F125" s="498"/>
      <c r="G125" s="487"/>
      <c r="H125" s="498"/>
      <c r="I125" s="487"/>
      <c r="J125" s="498"/>
      <c r="K125" s="514"/>
      <c r="L125" s="488"/>
      <c r="M125" s="405"/>
      <c r="N125" s="408"/>
    </row>
    <row r="126" spans="1:14" ht="15" customHeight="1" x14ac:dyDescent="0.2">
      <c r="A126" s="230">
        <f t="shared" si="6"/>
        <v>111</v>
      </c>
      <c r="B126" s="571" t="s">
        <v>385</v>
      </c>
      <c r="C126" s="405">
        <f t="shared" si="12"/>
        <v>43.3</v>
      </c>
      <c r="D126" s="408"/>
      <c r="E126" s="570">
        <f>86.6-43.3</f>
        <v>43.3</v>
      </c>
      <c r="F126" s="498"/>
      <c r="G126" s="487"/>
      <c r="H126" s="498"/>
      <c r="I126" s="487"/>
      <c r="J126" s="498"/>
      <c r="K126" s="514"/>
      <c r="L126" s="488"/>
      <c r="M126" s="405"/>
      <c r="N126" s="408"/>
    </row>
    <row r="127" spans="1:14" ht="15" customHeight="1" x14ac:dyDescent="0.2">
      <c r="A127" s="230">
        <f t="shared" si="6"/>
        <v>112</v>
      </c>
      <c r="B127" s="588" t="s">
        <v>78</v>
      </c>
      <c r="C127" s="419">
        <f t="shared" si="12"/>
        <v>22</v>
      </c>
      <c r="D127" s="408"/>
      <c r="E127" s="517">
        <f>E128</f>
        <v>22</v>
      </c>
      <c r="F127" s="529"/>
      <c r="G127" s="487"/>
      <c r="H127" s="498"/>
      <c r="I127" s="487"/>
      <c r="J127" s="498"/>
      <c r="K127" s="514"/>
      <c r="L127" s="488"/>
      <c r="M127" s="405"/>
      <c r="N127" s="408"/>
    </row>
    <row r="128" spans="1:14" ht="15" customHeight="1" x14ac:dyDescent="0.2">
      <c r="A128" s="230">
        <f t="shared" si="6"/>
        <v>113</v>
      </c>
      <c r="B128" s="571" t="s">
        <v>549</v>
      </c>
      <c r="C128" s="405">
        <f t="shared" si="12"/>
        <v>22</v>
      </c>
      <c r="D128" s="408"/>
      <c r="E128" s="570">
        <f>E129+E130+E131</f>
        <v>22</v>
      </c>
      <c r="F128" s="529"/>
      <c r="G128" s="487"/>
      <c r="H128" s="498"/>
      <c r="I128" s="487"/>
      <c r="J128" s="498"/>
      <c r="K128" s="514"/>
      <c r="L128" s="488"/>
      <c r="M128" s="405"/>
      <c r="N128" s="408"/>
    </row>
    <row r="129" spans="1:14" ht="27.75" customHeight="1" x14ac:dyDescent="0.2">
      <c r="A129" s="230">
        <f t="shared" si="6"/>
        <v>114</v>
      </c>
      <c r="B129" s="614" t="s">
        <v>300</v>
      </c>
      <c r="C129" s="405">
        <f t="shared" si="12"/>
        <v>5</v>
      </c>
      <c r="D129" s="408"/>
      <c r="E129" s="570">
        <v>5</v>
      </c>
      <c r="F129" s="529"/>
      <c r="G129" s="487"/>
      <c r="H129" s="498"/>
      <c r="I129" s="487"/>
      <c r="J129" s="498"/>
      <c r="K129" s="514"/>
      <c r="L129" s="488"/>
      <c r="M129" s="405"/>
      <c r="N129" s="408"/>
    </row>
    <row r="130" spans="1:14" ht="26.25" customHeight="1" x14ac:dyDescent="0.2">
      <c r="A130" s="230">
        <f t="shared" si="6"/>
        <v>115</v>
      </c>
      <c r="B130" s="614" t="s">
        <v>530</v>
      </c>
      <c r="C130" s="405">
        <f t="shared" si="12"/>
        <v>15.5</v>
      </c>
      <c r="D130" s="408"/>
      <c r="E130" s="570">
        <v>15.5</v>
      </c>
      <c r="F130" s="529"/>
      <c r="G130" s="487"/>
      <c r="H130" s="498"/>
      <c r="I130" s="487"/>
      <c r="J130" s="498"/>
      <c r="K130" s="514"/>
      <c r="L130" s="488"/>
      <c r="M130" s="405"/>
      <c r="N130" s="408"/>
    </row>
    <row r="131" spans="1:14" ht="26.25" customHeight="1" x14ac:dyDescent="0.2">
      <c r="A131" s="230">
        <f t="shared" si="6"/>
        <v>116</v>
      </c>
      <c r="B131" s="614" t="s">
        <v>622</v>
      </c>
      <c r="C131" s="405">
        <f t="shared" si="12"/>
        <v>1.5</v>
      </c>
      <c r="D131" s="408"/>
      <c r="E131" s="570">
        <v>1.5</v>
      </c>
      <c r="F131" s="529"/>
      <c r="G131" s="487"/>
      <c r="H131" s="498"/>
      <c r="I131" s="487"/>
      <c r="J131" s="498"/>
      <c r="K131" s="514"/>
      <c r="L131" s="488"/>
      <c r="M131" s="405"/>
      <c r="N131" s="408"/>
    </row>
    <row r="132" spans="1:14" ht="15" customHeight="1" x14ac:dyDescent="0.2">
      <c r="A132" s="230">
        <f t="shared" si="6"/>
        <v>117</v>
      </c>
      <c r="B132" s="558" t="s">
        <v>3</v>
      </c>
      <c r="C132" s="478">
        <f t="shared" si="12"/>
        <v>780.73099999999999</v>
      </c>
      <c r="D132" s="494">
        <f>F132+H132+J132+L132</f>
        <v>641.43500000000006</v>
      </c>
      <c r="E132" s="22">
        <v>734.93100000000004</v>
      </c>
      <c r="F132" s="496">
        <v>633.70100000000002</v>
      </c>
      <c r="G132" s="487"/>
      <c r="H132" s="498"/>
      <c r="I132" s="487"/>
      <c r="J132" s="498"/>
      <c r="K132" s="537">
        <v>45.8</v>
      </c>
      <c r="L132" s="512">
        <v>7.734</v>
      </c>
      <c r="M132" s="405"/>
      <c r="N132" s="408"/>
    </row>
    <row r="133" spans="1:14" ht="15" customHeight="1" x14ac:dyDescent="0.2">
      <c r="A133" s="230">
        <f t="shared" si="6"/>
        <v>118</v>
      </c>
      <c r="B133" s="585" t="s">
        <v>4</v>
      </c>
      <c r="C133" s="511">
        <f t="shared" si="12"/>
        <v>883.30100000000004</v>
      </c>
      <c r="D133" s="496">
        <f>F133+H133+J133+L133</f>
        <v>632.51</v>
      </c>
      <c r="E133" s="22">
        <v>828.30100000000004</v>
      </c>
      <c r="F133" s="496">
        <v>632.51</v>
      </c>
      <c r="G133" s="487"/>
      <c r="H133" s="498"/>
      <c r="I133" s="487"/>
      <c r="J133" s="498"/>
      <c r="K133" s="537">
        <v>55</v>
      </c>
      <c r="L133" s="512"/>
      <c r="M133" s="405"/>
      <c r="N133" s="408"/>
    </row>
    <row r="134" spans="1:14" ht="15" customHeight="1" x14ac:dyDescent="0.2">
      <c r="A134" s="230">
        <f t="shared" si="6"/>
        <v>119</v>
      </c>
      <c r="B134" s="585" t="s">
        <v>288</v>
      </c>
      <c r="C134" s="511">
        <f t="shared" si="12"/>
        <v>1161.3230000000001</v>
      </c>
      <c r="D134" s="496">
        <f>F134+H134+J134+L134</f>
        <v>967.31899999999996</v>
      </c>
      <c r="E134" s="537">
        <v>1123.9590000000001</v>
      </c>
      <c r="F134" s="496">
        <v>967.31899999999996</v>
      </c>
      <c r="G134" s="511">
        <v>33.564</v>
      </c>
      <c r="H134" s="498"/>
      <c r="I134" s="487"/>
      <c r="J134" s="498"/>
      <c r="K134" s="537">
        <v>3.8</v>
      </c>
      <c r="L134" s="512"/>
      <c r="M134" s="405"/>
      <c r="N134" s="408"/>
    </row>
    <row r="135" spans="1:14" ht="15" customHeight="1" x14ac:dyDescent="0.2">
      <c r="A135" s="230">
        <f t="shared" si="6"/>
        <v>120</v>
      </c>
      <c r="B135" s="585" t="s">
        <v>5</v>
      </c>
      <c r="C135" s="511">
        <f t="shared" si="12"/>
        <v>12.5</v>
      </c>
      <c r="D135" s="496"/>
      <c r="E135" s="537">
        <v>12.5</v>
      </c>
      <c r="F135" s="496"/>
      <c r="G135" s="487"/>
      <c r="H135" s="498"/>
      <c r="I135" s="511"/>
      <c r="J135" s="496"/>
      <c r="K135" s="537"/>
      <c r="L135" s="512"/>
      <c r="M135" s="405"/>
      <c r="N135" s="408"/>
    </row>
    <row r="136" spans="1:14" ht="15" customHeight="1" x14ac:dyDescent="0.2">
      <c r="A136" s="230">
        <f t="shared" ref="A136:A200" si="14">A135+1</f>
        <v>121</v>
      </c>
      <c r="B136" s="615" t="s">
        <v>228</v>
      </c>
      <c r="C136" s="511">
        <f t="shared" si="12"/>
        <v>544.33500000000004</v>
      </c>
      <c r="D136" s="496">
        <f t="shared" ref="D136:D138" si="15">F136+H136+J136+L136</f>
        <v>257.98199999999997</v>
      </c>
      <c r="E136" s="537">
        <v>344.33499999999998</v>
      </c>
      <c r="F136" s="496">
        <v>247.982</v>
      </c>
      <c r="G136" s="487"/>
      <c r="H136" s="498"/>
      <c r="I136" s="487"/>
      <c r="J136" s="498"/>
      <c r="K136" s="537">
        <v>200</v>
      </c>
      <c r="L136" s="512">
        <v>10</v>
      </c>
      <c r="M136" s="405"/>
      <c r="N136" s="408"/>
    </row>
    <row r="137" spans="1:14" ht="15" customHeight="1" x14ac:dyDescent="0.2">
      <c r="A137" s="230">
        <f t="shared" si="14"/>
        <v>122</v>
      </c>
      <c r="B137" s="588" t="s">
        <v>259</v>
      </c>
      <c r="C137" s="511">
        <f t="shared" si="12"/>
        <v>95.884</v>
      </c>
      <c r="D137" s="496">
        <f t="shared" si="15"/>
        <v>90.5</v>
      </c>
      <c r="E137" s="537">
        <v>95.884</v>
      </c>
      <c r="F137" s="496">
        <v>90.5</v>
      </c>
      <c r="G137" s="487"/>
      <c r="H137" s="498"/>
      <c r="I137" s="487"/>
      <c r="J137" s="498"/>
      <c r="K137" s="537"/>
      <c r="L137" s="512"/>
      <c r="M137" s="405"/>
      <c r="N137" s="408"/>
    </row>
    <row r="138" spans="1:14" ht="15" customHeight="1" x14ac:dyDescent="0.2">
      <c r="A138" s="230">
        <f t="shared" si="14"/>
        <v>123</v>
      </c>
      <c r="B138" s="418" t="s">
        <v>675</v>
      </c>
      <c r="C138" s="511">
        <f t="shared" si="12"/>
        <v>43.3</v>
      </c>
      <c r="D138" s="496">
        <f t="shared" si="15"/>
        <v>32.5</v>
      </c>
      <c r="E138" s="537">
        <v>43.3</v>
      </c>
      <c r="F138" s="496">
        <v>32.5</v>
      </c>
      <c r="G138" s="487"/>
      <c r="H138" s="498"/>
      <c r="I138" s="487"/>
      <c r="J138" s="498"/>
      <c r="K138" s="537"/>
      <c r="L138" s="512"/>
      <c r="M138" s="405"/>
      <c r="N138" s="408"/>
    </row>
    <row r="139" spans="1:14" ht="15" customHeight="1" x14ac:dyDescent="0.2">
      <c r="A139" s="230">
        <f t="shared" si="14"/>
        <v>124</v>
      </c>
      <c r="B139" s="585" t="s">
        <v>7</v>
      </c>
      <c r="C139" s="511">
        <f t="shared" si="12"/>
        <v>33.045000000000002</v>
      </c>
      <c r="D139" s="496"/>
      <c r="E139" s="537">
        <v>33.045000000000002</v>
      </c>
      <c r="F139" s="496"/>
      <c r="G139" s="487"/>
      <c r="H139" s="498"/>
      <c r="I139" s="487"/>
      <c r="J139" s="498"/>
      <c r="K139" s="537"/>
      <c r="L139" s="512"/>
      <c r="M139" s="405"/>
      <c r="N139" s="408"/>
    </row>
    <row r="140" spans="1:14" ht="15" customHeight="1" x14ac:dyDescent="0.2">
      <c r="A140" s="230">
        <f t="shared" si="14"/>
        <v>125</v>
      </c>
      <c r="B140" s="585" t="s">
        <v>8</v>
      </c>
      <c r="C140" s="511">
        <f t="shared" si="12"/>
        <v>6.8049999999999997</v>
      </c>
      <c r="D140" s="496"/>
      <c r="E140" s="537">
        <v>6.8049999999999997</v>
      </c>
      <c r="F140" s="496"/>
      <c r="G140" s="487"/>
      <c r="H140" s="498"/>
      <c r="I140" s="487"/>
      <c r="J140" s="498"/>
      <c r="K140" s="537"/>
      <c r="L140" s="488"/>
      <c r="M140" s="405"/>
      <c r="N140" s="408"/>
    </row>
    <row r="141" spans="1:14" ht="15" customHeight="1" x14ac:dyDescent="0.2">
      <c r="A141" s="230">
        <f t="shared" si="14"/>
        <v>126</v>
      </c>
      <c r="B141" s="585" t="s">
        <v>9</v>
      </c>
      <c r="C141" s="511">
        <f t="shared" si="12"/>
        <v>18.673999999999999</v>
      </c>
      <c r="D141" s="496"/>
      <c r="E141" s="537">
        <v>18.673999999999999</v>
      </c>
      <c r="F141" s="496"/>
      <c r="G141" s="487"/>
      <c r="H141" s="498"/>
      <c r="I141" s="487"/>
      <c r="J141" s="498"/>
      <c r="K141" s="537"/>
      <c r="L141" s="488"/>
      <c r="M141" s="405"/>
      <c r="N141" s="408"/>
    </row>
    <row r="142" spans="1:14" ht="15" customHeight="1" x14ac:dyDescent="0.2">
      <c r="A142" s="230">
        <f t="shared" si="14"/>
        <v>127</v>
      </c>
      <c r="B142" s="585" t="s">
        <v>10</v>
      </c>
      <c r="C142" s="511">
        <f t="shared" si="12"/>
        <v>3.54</v>
      </c>
      <c r="D142" s="496"/>
      <c r="E142" s="537">
        <v>3.54</v>
      </c>
      <c r="F142" s="496"/>
      <c r="G142" s="487"/>
      <c r="H142" s="498"/>
      <c r="I142" s="487"/>
      <c r="J142" s="498"/>
      <c r="K142" s="537"/>
      <c r="L142" s="488"/>
      <c r="M142" s="405"/>
      <c r="N142" s="408"/>
    </row>
    <row r="143" spans="1:14" ht="15" customHeight="1" x14ac:dyDescent="0.2">
      <c r="A143" s="230">
        <f t="shared" si="14"/>
        <v>128</v>
      </c>
      <c r="B143" s="585" t="s">
        <v>12</v>
      </c>
      <c r="C143" s="511">
        <f t="shared" si="12"/>
        <v>20.488</v>
      </c>
      <c r="D143" s="496"/>
      <c r="E143" s="537">
        <v>20.488</v>
      </c>
      <c r="F143" s="496"/>
      <c r="G143" s="487"/>
      <c r="H143" s="498"/>
      <c r="I143" s="487"/>
      <c r="J143" s="498"/>
      <c r="K143" s="537"/>
      <c r="L143" s="512"/>
      <c r="M143" s="405"/>
      <c r="N143" s="408"/>
    </row>
    <row r="144" spans="1:14" ht="15" customHeight="1" x14ac:dyDescent="0.2">
      <c r="A144" s="230">
        <f t="shared" si="14"/>
        <v>129</v>
      </c>
      <c r="B144" s="585" t="s">
        <v>13</v>
      </c>
      <c r="C144" s="511">
        <f t="shared" si="12"/>
        <v>23.039000000000001</v>
      </c>
      <c r="D144" s="496"/>
      <c r="E144" s="537">
        <v>23.039000000000001</v>
      </c>
      <c r="F144" s="496"/>
      <c r="G144" s="487"/>
      <c r="H144" s="498"/>
      <c r="I144" s="487"/>
      <c r="J144" s="498"/>
      <c r="K144" s="537"/>
      <c r="L144" s="488"/>
      <c r="M144" s="405"/>
      <c r="N144" s="408"/>
    </row>
    <row r="145" spans="1:14" ht="15" customHeight="1" x14ac:dyDescent="0.2">
      <c r="A145" s="230">
        <f t="shared" si="14"/>
        <v>130</v>
      </c>
      <c r="B145" s="585" t="s">
        <v>28</v>
      </c>
      <c r="C145" s="511">
        <f t="shared" si="12"/>
        <v>11.103</v>
      </c>
      <c r="D145" s="496"/>
      <c r="E145" s="537">
        <v>11.103</v>
      </c>
      <c r="F145" s="496"/>
      <c r="G145" s="487"/>
      <c r="H145" s="498"/>
      <c r="I145" s="487"/>
      <c r="J145" s="498"/>
      <c r="K145" s="537"/>
      <c r="L145" s="488"/>
      <c r="M145" s="405"/>
      <c r="N145" s="408"/>
    </row>
    <row r="146" spans="1:14" ht="15" customHeight="1" x14ac:dyDescent="0.2">
      <c r="A146" s="230">
        <f t="shared" si="14"/>
        <v>131</v>
      </c>
      <c r="B146" s="585" t="s">
        <v>109</v>
      </c>
      <c r="C146" s="511">
        <f t="shared" ref="C146:D184" si="16">E146+G146+I146+K146</f>
        <v>122.071</v>
      </c>
      <c r="D146" s="496">
        <f>F146+H146+J146+L146</f>
        <v>84.98</v>
      </c>
      <c r="E146" s="537">
        <v>119.071</v>
      </c>
      <c r="F146" s="496">
        <v>84.98</v>
      </c>
      <c r="G146" s="487"/>
      <c r="H146" s="498"/>
      <c r="I146" s="487"/>
      <c r="J146" s="498"/>
      <c r="K146" s="537">
        <v>3</v>
      </c>
      <c r="L146" s="488"/>
      <c r="M146" s="405"/>
      <c r="N146" s="408"/>
    </row>
    <row r="147" spans="1:14" ht="15" customHeight="1" thickBot="1" x14ac:dyDescent="0.25">
      <c r="A147" s="234">
        <f t="shared" si="14"/>
        <v>132</v>
      </c>
      <c r="B147" s="616" t="s">
        <v>153</v>
      </c>
      <c r="C147" s="513">
        <f t="shared" si="16"/>
        <v>100.029</v>
      </c>
      <c r="D147" s="542">
        <f>F147+H147+J147+L147</f>
        <v>95.968000000000004</v>
      </c>
      <c r="E147" s="545">
        <v>98.897999999999996</v>
      </c>
      <c r="F147" s="542">
        <v>95.968000000000004</v>
      </c>
      <c r="G147" s="513">
        <v>1.131</v>
      </c>
      <c r="H147" s="580"/>
      <c r="I147" s="526"/>
      <c r="J147" s="580"/>
      <c r="K147" s="545"/>
      <c r="L147" s="539"/>
      <c r="M147" s="546"/>
      <c r="N147" s="547"/>
    </row>
    <row r="148" spans="1:14" ht="33" customHeight="1" thickBot="1" x14ac:dyDescent="0.25">
      <c r="A148" s="229">
        <f t="shared" si="14"/>
        <v>133</v>
      </c>
      <c r="B148" s="617" t="s">
        <v>175</v>
      </c>
      <c r="C148" s="618">
        <f t="shared" si="16"/>
        <v>12919.39975</v>
      </c>
      <c r="D148" s="552">
        <f>F148+H148+J148+L148</f>
        <v>3072.1489999999999</v>
      </c>
      <c r="E148" s="619">
        <f>E149+SUM(E173:E185)+E187+E191</f>
        <v>6306.8260299999993</v>
      </c>
      <c r="F148" s="58">
        <f>F149+SUM(F173:F185)+F187+F191</f>
        <v>1848.8819999999998</v>
      </c>
      <c r="G148" s="620">
        <f>G149+SUM(G173:G185)+G187+G191</f>
        <v>6057.4287199999999</v>
      </c>
      <c r="H148" s="58">
        <f>H149+SUM(H173:H185)+H187+H191</f>
        <v>910.10800000000006</v>
      </c>
      <c r="I148" s="621"/>
      <c r="J148" s="622"/>
      <c r="K148" s="57">
        <f>K149+SUM(K173:K185)+K187+K191</f>
        <v>555.14499999999998</v>
      </c>
      <c r="L148" s="56">
        <f>L149+SUM(L173:L185)+L187+L191</f>
        <v>313.15899999999999</v>
      </c>
      <c r="M148" s="443"/>
      <c r="N148" s="444"/>
    </row>
    <row r="149" spans="1:14" ht="15" customHeight="1" x14ac:dyDescent="0.2">
      <c r="A149" s="230">
        <f t="shared" si="14"/>
        <v>134</v>
      </c>
      <c r="B149" s="623" t="s">
        <v>275</v>
      </c>
      <c r="C149" s="624">
        <f>E149+G149+I149+K149</f>
        <v>8324.6697199999999</v>
      </c>
      <c r="D149" s="625">
        <f>F149+H149+J149+L149</f>
        <v>45</v>
      </c>
      <c r="E149" s="626">
        <f>SUM(E150:E170)</f>
        <v>3638.8</v>
      </c>
      <c r="F149" s="627"/>
      <c r="G149" s="624">
        <f>SUM(G150:G172)</f>
        <v>4685.8697199999997</v>
      </c>
      <c r="H149" s="625">
        <f>SUM(H150:H169)</f>
        <v>45</v>
      </c>
      <c r="I149" s="628"/>
      <c r="J149" s="627"/>
      <c r="K149" s="628"/>
      <c r="L149" s="629"/>
      <c r="M149" s="427"/>
      <c r="N149" s="428"/>
    </row>
    <row r="150" spans="1:14" ht="15" customHeight="1" x14ac:dyDescent="0.2">
      <c r="A150" s="230">
        <f t="shared" si="14"/>
        <v>135</v>
      </c>
      <c r="B150" s="630" t="s">
        <v>59</v>
      </c>
      <c r="C150" s="407">
        <f t="shared" si="16"/>
        <v>2279.6999999999998</v>
      </c>
      <c r="D150" s="372"/>
      <c r="E150" s="570">
        <v>960</v>
      </c>
      <c r="F150" s="494"/>
      <c r="G150" s="566">
        <f>1300+19.7</f>
        <v>1319.7</v>
      </c>
      <c r="H150" s="76"/>
      <c r="I150" s="631"/>
      <c r="J150" s="632"/>
      <c r="K150" s="633"/>
      <c r="L150" s="634"/>
      <c r="M150" s="411"/>
      <c r="N150" s="412"/>
    </row>
    <row r="151" spans="1:14" ht="15" customHeight="1" x14ac:dyDescent="0.2">
      <c r="A151" s="230">
        <f t="shared" si="14"/>
        <v>136</v>
      </c>
      <c r="B151" s="569" t="s">
        <v>60</v>
      </c>
      <c r="C151" s="504">
        <f t="shared" si="16"/>
        <v>50</v>
      </c>
      <c r="D151" s="372"/>
      <c r="E151" s="514">
        <v>50</v>
      </c>
      <c r="F151" s="498"/>
      <c r="G151" s="610"/>
      <c r="H151" s="612"/>
      <c r="I151" s="499"/>
      <c r="J151" s="500"/>
      <c r="K151" s="501"/>
      <c r="L151" s="502"/>
      <c r="M151" s="411"/>
      <c r="N151" s="412"/>
    </row>
    <row r="152" spans="1:14" ht="15" customHeight="1" x14ac:dyDescent="0.2">
      <c r="A152" s="230">
        <f t="shared" si="14"/>
        <v>137</v>
      </c>
      <c r="B152" s="569" t="s">
        <v>61</v>
      </c>
      <c r="C152" s="504">
        <f t="shared" si="16"/>
        <v>84</v>
      </c>
      <c r="D152" s="372"/>
      <c r="E152" s="514">
        <v>84</v>
      </c>
      <c r="F152" s="498"/>
      <c r="G152" s="487"/>
      <c r="H152" s="488"/>
      <c r="I152" s="499"/>
      <c r="J152" s="500"/>
      <c r="K152" s="501"/>
      <c r="L152" s="502"/>
      <c r="M152" s="411"/>
      <c r="N152" s="412"/>
    </row>
    <row r="153" spans="1:14" ht="15" customHeight="1" x14ac:dyDescent="0.2">
      <c r="A153" s="230">
        <f t="shared" si="14"/>
        <v>138</v>
      </c>
      <c r="B153" s="569" t="s">
        <v>62</v>
      </c>
      <c r="C153" s="504">
        <f t="shared" si="16"/>
        <v>10</v>
      </c>
      <c r="D153" s="372"/>
      <c r="E153" s="514">
        <v>10</v>
      </c>
      <c r="F153" s="498"/>
      <c r="G153" s="487"/>
      <c r="H153" s="488"/>
      <c r="I153" s="499"/>
      <c r="J153" s="500"/>
      <c r="K153" s="501"/>
      <c r="L153" s="502"/>
      <c r="M153" s="411"/>
      <c r="N153" s="412"/>
    </row>
    <row r="154" spans="1:14" ht="15" customHeight="1" x14ac:dyDescent="0.2">
      <c r="A154" s="230">
        <f t="shared" si="14"/>
        <v>139</v>
      </c>
      <c r="B154" s="571" t="s">
        <v>556</v>
      </c>
      <c r="C154" s="504">
        <f t="shared" si="16"/>
        <v>109.309</v>
      </c>
      <c r="D154" s="635">
        <f t="shared" ref="D154" si="17">F154+H154+J154+L154</f>
        <v>45</v>
      </c>
      <c r="E154" s="514"/>
      <c r="F154" s="498"/>
      <c r="G154" s="636">
        <v>109.309</v>
      </c>
      <c r="H154" s="637">
        <v>45</v>
      </c>
      <c r="I154" s="499"/>
      <c r="J154" s="500"/>
      <c r="K154" s="501"/>
      <c r="L154" s="502"/>
      <c r="M154" s="411"/>
      <c r="N154" s="412"/>
    </row>
    <row r="155" spans="1:14" ht="15" customHeight="1" x14ac:dyDescent="0.2">
      <c r="A155" s="230">
        <f t="shared" si="14"/>
        <v>140</v>
      </c>
      <c r="B155" s="571" t="s">
        <v>2</v>
      </c>
      <c r="C155" s="487">
        <f t="shared" si="16"/>
        <v>508.1</v>
      </c>
      <c r="D155" s="496"/>
      <c r="E155" s="514"/>
      <c r="F155" s="498"/>
      <c r="G155" s="487">
        <v>508.1</v>
      </c>
      <c r="H155" s="488"/>
      <c r="I155" s="499"/>
      <c r="J155" s="500"/>
      <c r="K155" s="501"/>
      <c r="L155" s="502"/>
      <c r="M155" s="411"/>
      <c r="N155" s="412"/>
    </row>
    <row r="156" spans="1:14" ht="25.5" customHeight="1" x14ac:dyDescent="0.2">
      <c r="A156" s="230">
        <f t="shared" si="14"/>
        <v>141</v>
      </c>
      <c r="B156" s="571" t="s">
        <v>235</v>
      </c>
      <c r="C156" s="487">
        <f t="shared" si="16"/>
        <v>5</v>
      </c>
      <c r="D156" s="496"/>
      <c r="E156" s="514">
        <v>5</v>
      </c>
      <c r="F156" s="498"/>
      <c r="G156" s="487"/>
      <c r="H156" s="488"/>
      <c r="I156" s="499"/>
      <c r="J156" s="500"/>
      <c r="K156" s="501"/>
      <c r="L156" s="502"/>
      <c r="M156" s="411"/>
      <c r="N156" s="412"/>
    </row>
    <row r="157" spans="1:14" ht="15" customHeight="1" x14ac:dyDescent="0.2">
      <c r="A157" s="230">
        <f t="shared" si="14"/>
        <v>142</v>
      </c>
      <c r="B157" s="569" t="s">
        <v>64</v>
      </c>
      <c r="C157" s="487">
        <f t="shared" si="16"/>
        <v>544.6</v>
      </c>
      <c r="D157" s="496"/>
      <c r="E157" s="514"/>
      <c r="F157" s="498"/>
      <c r="G157" s="13">
        <f>456.6+88</f>
        <v>544.6</v>
      </c>
      <c r="H157" s="488"/>
      <c r="I157" s="499"/>
      <c r="J157" s="500"/>
      <c r="K157" s="501"/>
      <c r="L157" s="502"/>
      <c r="M157" s="411"/>
      <c r="N157" s="412"/>
    </row>
    <row r="158" spans="1:14" ht="15" customHeight="1" x14ac:dyDescent="0.2">
      <c r="A158" s="230">
        <f t="shared" si="14"/>
        <v>143</v>
      </c>
      <c r="B158" s="569" t="s">
        <v>65</v>
      </c>
      <c r="C158" s="487">
        <f t="shared" si="16"/>
        <v>3715.7</v>
      </c>
      <c r="D158" s="496"/>
      <c r="E158" s="570">
        <v>1890</v>
      </c>
      <c r="F158" s="498"/>
      <c r="G158" s="487">
        <v>1825.7</v>
      </c>
      <c r="H158" s="488"/>
      <c r="I158" s="499"/>
      <c r="J158" s="500"/>
      <c r="K158" s="501"/>
      <c r="L158" s="502"/>
      <c r="M158" s="411"/>
      <c r="N158" s="412"/>
    </row>
    <row r="159" spans="1:14" ht="15" customHeight="1" x14ac:dyDescent="0.2">
      <c r="A159" s="230">
        <f t="shared" si="14"/>
        <v>144</v>
      </c>
      <c r="B159" s="571" t="s">
        <v>260</v>
      </c>
      <c r="C159" s="638">
        <f t="shared" si="16"/>
        <v>17.8</v>
      </c>
      <c r="D159" s="639"/>
      <c r="E159" s="640">
        <v>17.8</v>
      </c>
      <c r="F159" s="641"/>
      <c r="G159" s="642"/>
      <c r="H159" s="643"/>
      <c r="I159" s="644"/>
      <c r="J159" s="645"/>
      <c r="K159" s="646"/>
      <c r="L159" s="647"/>
      <c r="M159" s="411"/>
      <c r="N159" s="412"/>
    </row>
    <row r="160" spans="1:14" ht="15" customHeight="1" x14ac:dyDescent="0.2">
      <c r="A160" s="230">
        <f t="shared" si="14"/>
        <v>145</v>
      </c>
      <c r="B160" s="648" t="s">
        <v>478</v>
      </c>
      <c r="C160" s="638">
        <f t="shared" si="16"/>
        <v>10</v>
      </c>
      <c r="D160" s="496"/>
      <c r="E160" s="514">
        <v>10</v>
      </c>
      <c r="F160" s="498"/>
      <c r="G160" s="487"/>
      <c r="H160" s="488"/>
      <c r="I160" s="499"/>
      <c r="J160" s="500"/>
      <c r="K160" s="501"/>
      <c r="L160" s="502"/>
      <c r="M160" s="411"/>
      <c r="N160" s="412"/>
    </row>
    <row r="161" spans="1:14" ht="15" customHeight="1" x14ac:dyDescent="0.2">
      <c r="A161" s="230">
        <f t="shared" si="14"/>
        <v>146</v>
      </c>
      <c r="B161" s="571" t="s">
        <v>477</v>
      </c>
      <c r="C161" s="638">
        <f t="shared" si="16"/>
        <v>114</v>
      </c>
      <c r="D161" s="496"/>
      <c r="E161" s="514">
        <f>110+4</f>
        <v>114</v>
      </c>
      <c r="F161" s="498"/>
      <c r="G161" s="487"/>
      <c r="H161" s="488"/>
      <c r="I161" s="499"/>
      <c r="J161" s="500"/>
      <c r="K161" s="501"/>
      <c r="L161" s="502"/>
      <c r="M161" s="411"/>
      <c r="N161" s="412"/>
    </row>
    <row r="162" spans="1:14" ht="15" customHeight="1" x14ac:dyDescent="0.2">
      <c r="A162" s="230">
        <f t="shared" si="14"/>
        <v>147</v>
      </c>
      <c r="B162" s="576" t="s">
        <v>226</v>
      </c>
      <c r="C162" s="638">
        <f t="shared" si="16"/>
        <v>7</v>
      </c>
      <c r="D162" s="496"/>
      <c r="E162" s="514">
        <v>7</v>
      </c>
      <c r="F162" s="498"/>
      <c r="G162" s="487"/>
      <c r="H162" s="488"/>
      <c r="I162" s="499"/>
      <c r="J162" s="500"/>
      <c r="K162" s="501"/>
      <c r="L162" s="502"/>
      <c r="M162" s="411"/>
      <c r="N162" s="412"/>
    </row>
    <row r="163" spans="1:14" ht="15" customHeight="1" x14ac:dyDescent="0.2">
      <c r="A163" s="230">
        <f t="shared" si="14"/>
        <v>148</v>
      </c>
      <c r="B163" s="571" t="s">
        <v>557</v>
      </c>
      <c r="C163" s="405">
        <f t="shared" si="16"/>
        <v>354</v>
      </c>
      <c r="D163" s="408"/>
      <c r="E163" s="570">
        <v>354</v>
      </c>
      <c r="F163" s="580"/>
      <c r="G163" s="526"/>
      <c r="H163" s="527"/>
      <c r="I163" s="499"/>
      <c r="J163" s="500"/>
      <c r="K163" s="501"/>
      <c r="L163" s="502"/>
      <c r="M163" s="411"/>
      <c r="N163" s="412"/>
    </row>
    <row r="164" spans="1:14" ht="15" customHeight="1" x14ac:dyDescent="0.2">
      <c r="A164" s="230">
        <f t="shared" si="14"/>
        <v>149</v>
      </c>
      <c r="B164" s="571" t="s">
        <v>498</v>
      </c>
      <c r="C164" s="405">
        <f t="shared" si="16"/>
        <v>178.6</v>
      </c>
      <c r="D164" s="408"/>
      <c r="E164" s="570"/>
      <c r="F164" s="408"/>
      <c r="G164" s="405">
        <v>178.6</v>
      </c>
      <c r="H164" s="410"/>
      <c r="I164" s="499"/>
      <c r="J164" s="500"/>
      <c r="K164" s="501"/>
      <c r="L164" s="502"/>
      <c r="M164" s="411"/>
      <c r="N164" s="412"/>
    </row>
    <row r="165" spans="1:14" ht="27.75" customHeight="1" x14ac:dyDescent="0.2">
      <c r="A165" s="230">
        <f t="shared" si="14"/>
        <v>150</v>
      </c>
      <c r="B165" s="571" t="s">
        <v>499</v>
      </c>
      <c r="C165" s="405">
        <f t="shared" si="16"/>
        <v>107.07</v>
      </c>
      <c r="D165" s="408"/>
      <c r="E165" s="570"/>
      <c r="F165" s="408"/>
      <c r="G165" s="405">
        <v>107.07</v>
      </c>
      <c r="H165" s="410"/>
      <c r="I165" s="499"/>
      <c r="J165" s="500"/>
      <c r="K165" s="501"/>
      <c r="L165" s="502"/>
      <c r="M165" s="411"/>
      <c r="N165" s="412"/>
    </row>
    <row r="166" spans="1:14" ht="15" customHeight="1" x14ac:dyDescent="0.2">
      <c r="A166" s="230">
        <f t="shared" si="14"/>
        <v>151</v>
      </c>
      <c r="B166" s="571" t="s">
        <v>490</v>
      </c>
      <c r="C166" s="405">
        <f t="shared" si="16"/>
        <v>24.678999999999998</v>
      </c>
      <c r="D166" s="408"/>
      <c r="E166" s="570"/>
      <c r="F166" s="408"/>
      <c r="G166" s="405">
        <v>24.678999999999998</v>
      </c>
      <c r="H166" s="410"/>
      <c r="I166" s="649"/>
      <c r="J166" s="650"/>
      <c r="K166" s="651"/>
      <c r="L166" s="652"/>
      <c r="M166" s="411"/>
      <c r="N166" s="412"/>
    </row>
    <row r="167" spans="1:14" ht="15" customHeight="1" x14ac:dyDescent="0.2">
      <c r="A167" s="230">
        <f t="shared" si="14"/>
        <v>152</v>
      </c>
      <c r="B167" s="653" t="s">
        <v>298</v>
      </c>
      <c r="C167" s="654">
        <f t="shared" si="16"/>
        <v>100</v>
      </c>
      <c r="D167" s="655"/>
      <c r="E167" s="656">
        <v>100</v>
      </c>
      <c r="F167" s="655"/>
      <c r="G167" s="654"/>
      <c r="H167" s="657"/>
      <c r="I167" s="631"/>
      <c r="J167" s="632"/>
      <c r="K167" s="633"/>
      <c r="L167" s="634"/>
      <c r="M167" s="411"/>
      <c r="N167" s="412"/>
    </row>
    <row r="168" spans="1:14" ht="15" customHeight="1" x14ac:dyDescent="0.2">
      <c r="A168" s="230">
        <f t="shared" si="14"/>
        <v>153</v>
      </c>
      <c r="B168" s="571" t="s">
        <v>481</v>
      </c>
      <c r="C168" s="658">
        <f t="shared" si="16"/>
        <v>12</v>
      </c>
      <c r="D168" s="659"/>
      <c r="E168" s="660">
        <v>12</v>
      </c>
      <c r="F168" s="659"/>
      <c r="G168" s="658"/>
      <c r="H168" s="661"/>
      <c r="I168" s="499"/>
      <c r="J168" s="500"/>
      <c r="K168" s="501"/>
      <c r="L168" s="502"/>
      <c r="M168" s="411"/>
      <c r="N168" s="412"/>
    </row>
    <row r="169" spans="1:14" ht="15" customHeight="1" x14ac:dyDescent="0.2">
      <c r="A169" s="230">
        <f t="shared" si="14"/>
        <v>154</v>
      </c>
      <c r="B169" s="571" t="s">
        <v>482</v>
      </c>
      <c r="C169" s="658">
        <f t="shared" si="16"/>
        <v>10</v>
      </c>
      <c r="D169" s="659"/>
      <c r="E169" s="660">
        <v>10</v>
      </c>
      <c r="F169" s="659"/>
      <c r="G169" s="658"/>
      <c r="H169" s="661"/>
      <c r="I169" s="499"/>
      <c r="J169" s="500"/>
      <c r="K169" s="501"/>
      <c r="L169" s="502"/>
      <c r="M169" s="411"/>
      <c r="N169" s="412"/>
    </row>
    <row r="170" spans="1:14" ht="15" customHeight="1" x14ac:dyDescent="0.2">
      <c r="A170" s="230">
        <f t="shared" si="14"/>
        <v>155</v>
      </c>
      <c r="B170" s="571" t="s">
        <v>501</v>
      </c>
      <c r="C170" s="658">
        <f t="shared" si="16"/>
        <v>15</v>
      </c>
      <c r="D170" s="659"/>
      <c r="E170" s="660">
        <v>15</v>
      </c>
      <c r="F170" s="659"/>
      <c r="G170" s="662"/>
      <c r="H170" s="663"/>
      <c r="I170" s="499"/>
      <c r="J170" s="500"/>
      <c r="K170" s="501"/>
      <c r="L170" s="502"/>
      <c r="M170" s="411"/>
      <c r="N170" s="412"/>
    </row>
    <row r="171" spans="1:14" ht="25.5" customHeight="1" x14ac:dyDescent="0.2">
      <c r="A171" s="230">
        <f t="shared" si="14"/>
        <v>156</v>
      </c>
      <c r="B171" s="402" t="s">
        <v>571</v>
      </c>
      <c r="C171" s="664">
        <f t="shared" si="16"/>
        <v>40.522100000000002</v>
      </c>
      <c r="D171" s="665"/>
      <c r="E171" s="666"/>
      <c r="F171" s="667"/>
      <c r="G171" s="396">
        <f>34.54758+5.97452</f>
        <v>40.522100000000002</v>
      </c>
      <c r="H171" s="665"/>
      <c r="I171" s="499"/>
      <c r="J171" s="500"/>
      <c r="K171" s="501"/>
      <c r="L171" s="502"/>
      <c r="M171" s="411"/>
      <c r="N171" s="412"/>
    </row>
    <row r="172" spans="1:14" ht="16.5" customHeight="1" x14ac:dyDescent="0.2">
      <c r="A172" s="230">
        <f t="shared" si="14"/>
        <v>157</v>
      </c>
      <c r="B172" s="668" t="s">
        <v>591</v>
      </c>
      <c r="C172" s="664">
        <f t="shared" si="16"/>
        <v>27.58962</v>
      </c>
      <c r="D172" s="665"/>
      <c r="E172" s="666"/>
      <c r="F172" s="665"/>
      <c r="G172" s="669">
        <v>27.58962</v>
      </c>
      <c r="H172" s="665"/>
      <c r="I172" s="499"/>
      <c r="J172" s="500"/>
      <c r="K172" s="501"/>
      <c r="L172" s="502"/>
      <c r="M172" s="411"/>
      <c r="N172" s="412"/>
    </row>
    <row r="173" spans="1:14" ht="15" customHeight="1" x14ac:dyDescent="0.2">
      <c r="A173" s="230">
        <f t="shared" si="14"/>
        <v>158</v>
      </c>
      <c r="B173" s="585" t="s">
        <v>27</v>
      </c>
      <c r="C173" s="670">
        <f t="shared" si="16"/>
        <v>1259.4070300000001</v>
      </c>
      <c r="D173" s="671">
        <f t="shared" si="16"/>
        <v>1005.215</v>
      </c>
      <c r="E173" s="595">
        <v>994.84402999999998</v>
      </c>
      <c r="F173" s="372">
        <v>845.99599999999998</v>
      </c>
      <c r="G173" s="672">
        <v>104.563</v>
      </c>
      <c r="H173" s="673">
        <v>59.662999999999997</v>
      </c>
      <c r="I173" s="511"/>
      <c r="J173" s="496"/>
      <c r="K173" s="537">
        <v>160</v>
      </c>
      <c r="L173" s="512">
        <v>99.555999999999997</v>
      </c>
      <c r="M173" s="411"/>
      <c r="N173" s="412"/>
    </row>
    <row r="174" spans="1:14" ht="15" customHeight="1" x14ac:dyDescent="0.2">
      <c r="A174" s="230">
        <f t="shared" si="14"/>
        <v>159</v>
      </c>
      <c r="B174" s="588" t="s">
        <v>259</v>
      </c>
      <c r="C174" s="511">
        <f t="shared" si="16"/>
        <v>1791.3489999999997</v>
      </c>
      <c r="D174" s="496">
        <f>F174+H174+J174+L174</f>
        <v>1505.4740000000002</v>
      </c>
      <c r="E174" s="517">
        <v>1108.6079999999999</v>
      </c>
      <c r="F174" s="372">
        <v>983.11500000000001</v>
      </c>
      <c r="G174" s="419">
        <f>711.996-88</f>
        <v>623.99599999999998</v>
      </c>
      <c r="H174" s="372">
        <f>609.033-86.674</f>
        <v>522.35900000000004</v>
      </c>
      <c r="I174" s="487"/>
      <c r="J174" s="498"/>
      <c r="K174" s="537">
        <v>58.744999999999997</v>
      </c>
      <c r="L174" s="512"/>
      <c r="M174" s="411"/>
      <c r="N174" s="412"/>
    </row>
    <row r="175" spans="1:14" ht="15" customHeight="1" x14ac:dyDescent="0.2">
      <c r="A175" s="230">
        <f t="shared" si="14"/>
        <v>160</v>
      </c>
      <c r="B175" s="585" t="s">
        <v>7</v>
      </c>
      <c r="C175" s="419">
        <f t="shared" si="16"/>
        <v>21.214000000000002</v>
      </c>
      <c r="D175" s="372"/>
      <c r="E175" s="517">
        <v>1.03</v>
      </c>
      <c r="F175" s="372"/>
      <c r="G175" s="419">
        <v>20.184000000000001</v>
      </c>
      <c r="H175" s="371"/>
      <c r="I175" s="405"/>
      <c r="J175" s="408"/>
      <c r="K175" s="517"/>
      <c r="L175" s="371"/>
      <c r="M175" s="411"/>
      <c r="N175" s="412"/>
    </row>
    <row r="176" spans="1:14" ht="15" customHeight="1" x14ac:dyDescent="0.2">
      <c r="A176" s="230">
        <f t="shared" si="14"/>
        <v>161</v>
      </c>
      <c r="B176" s="585" t="s">
        <v>8</v>
      </c>
      <c r="C176" s="511">
        <f t="shared" si="16"/>
        <v>15.826000000000001</v>
      </c>
      <c r="D176" s="496"/>
      <c r="E176" s="537">
        <v>0.93</v>
      </c>
      <c r="F176" s="498"/>
      <c r="G176" s="511">
        <v>14.896000000000001</v>
      </c>
      <c r="H176" s="512"/>
      <c r="I176" s="487"/>
      <c r="J176" s="498"/>
      <c r="K176" s="514"/>
      <c r="L176" s="488"/>
      <c r="M176" s="411"/>
      <c r="N176" s="412"/>
    </row>
    <row r="177" spans="1:14" ht="15" customHeight="1" x14ac:dyDescent="0.2">
      <c r="A177" s="230">
        <f t="shared" si="14"/>
        <v>162</v>
      </c>
      <c r="B177" s="585" t="s">
        <v>9</v>
      </c>
      <c r="C177" s="511">
        <f t="shared" si="16"/>
        <v>18.358000000000001</v>
      </c>
      <c r="D177" s="496"/>
      <c r="E177" s="537">
        <v>1.1100000000000001</v>
      </c>
      <c r="F177" s="498"/>
      <c r="G177" s="511">
        <v>17.248000000000001</v>
      </c>
      <c r="H177" s="512"/>
      <c r="I177" s="487"/>
      <c r="J177" s="498"/>
      <c r="K177" s="514"/>
      <c r="L177" s="488"/>
      <c r="M177" s="411"/>
      <c r="N177" s="412"/>
    </row>
    <row r="178" spans="1:14" ht="15" customHeight="1" x14ac:dyDescent="0.2">
      <c r="A178" s="230">
        <f t="shared" si="14"/>
        <v>163</v>
      </c>
      <c r="B178" s="585" t="s">
        <v>10</v>
      </c>
      <c r="C178" s="511">
        <f t="shared" si="16"/>
        <v>7.1639999999999997</v>
      </c>
      <c r="D178" s="496"/>
      <c r="E178" s="537">
        <v>0.5</v>
      </c>
      <c r="F178" s="498"/>
      <c r="G178" s="511">
        <v>6.6639999999999997</v>
      </c>
      <c r="H178" s="512"/>
      <c r="I178" s="487"/>
      <c r="J178" s="498"/>
      <c r="K178" s="514"/>
      <c r="L178" s="488"/>
      <c r="M178" s="411"/>
      <c r="N178" s="412"/>
    </row>
    <row r="179" spans="1:14" ht="15" customHeight="1" x14ac:dyDescent="0.2">
      <c r="A179" s="230">
        <f t="shared" si="14"/>
        <v>164</v>
      </c>
      <c r="B179" s="585" t="s">
        <v>11</v>
      </c>
      <c r="C179" s="511">
        <f t="shared" si="16"/>
        <v>10.007999999999999</v>
      </c>
      <c r="D179" s="496"/>
      <c r="E179" s="537">
        <v>0.6</v>
      </c>
      <c r="F179" s="498"/>
      <c r="G179" s="511">
        <v>9.4079999999999995</v>
      </c>
      <c r="H179" s="512"/>
      <c r="I179" s="487"/>
      <c r="J179" s="498"/>
      <c r="K179" s="514"/>
      <c r="L179" s="488"/>
      <c r="M179" s="411"/>
      <c r="N179" s="412"/>
    </row>
    <row r="180" spans="1:14" ht="15" customHeight="1" x14ac:dyDescent="0.2">
      <c r="A180" s="230">
        <f t="shared" si="14"/>
        <v>165</v>
      </c>
      <c r="B180" s="585" t="s">
        <v>12</v>
      </c>
      <c r="C180" s="511">
        <f t="shared" si="16"/>
        <v>28.972000000000001</v>
      </c>
      <c r="D180" s="496"/>
      <c r="E180" s="537">
        <v>1.1399999999999999</v>
      </c>
      <c r="F180" s="498"/>
      <c r="G180" s="511">
        <v>27.832000000000001</v>
      </c>
      <c r="H180" s="512"/>
      <c r="I180" s="487"/>
      <c r="J180" s="498"/>
      <c r="K180" s="514"/>
      <c r="L180" s="488"/>
      <c r="M180" s="411"/>
      <c r="N180" s="412"/>
    </row>
    <row r="181" spans="1:14" ht="15" customHeight="1" x14ac:dyDescent="0.2">
      <c r="A181" s="230">
        <f t="shared" si="14"/>
        <v>166</v>
      </c>
      <c r="B181" s="585" t="s">
        <v>13</v>
      </c>
      <c r="C181" s="511">
        <f t="shared" si="16"/>
        <v>23.362000000000002</v>
      </c>
      <c r="D181" s="496"/>
      <c r="E181" s="537">
        <v>1.41</v>
      </c>
      <c r="F181" s="498"/>
      <c r="G181" s="511">
        <v>21.952000000000002</v>
      </c>
      <c r="H181" s="512"/>
      <c r="I181" s="487"/>
      <c r="J181" s="498"/>
      <c r="K181" s="514"/>
      <c r="L181" s="488"/>
      <c r="M181" s="411"/>
      <c r="N181" s="412"/>
    </row>
    <row r="182" spans="1:14" ht="15" customHeight="1" x14ac:dyDescent="0.2">
      <c r="A182" s="230">
        <f t="shared" si="14"/>
        <v>167</v>
      </c>
      <c r="B182" s="585" t="s">
        <v>14</v>
      </c>
      <c r="C182" s="511">
        <f t="shared" si="16"/>
        <v>11.716000000000001</v>
      </c>
      <c r="D182" s="496"/>
      <c r="E182" s="537">
        <v>0.74</v>
      </c>
      <c r="F182" s="498"/>
      <c r="G182" s="511">
        <v>10.976000000000001</v>
      </c>
      <c r="H182" s="512"/>
      <c r="I182" s="487"/>
      <c r="J182" s="498"/>
      <c r="K182" s="514"/>
      <c r="L182" s="488"/>
      <c r="M182" s="411"/>
      <c r="N182" s="412"/>
    </row>
    <row r="183" spans="1:14" ht="15" customHeight="1" x14ac:dyDescent="0.2">
      <c r="A183" s="230">
        <f t="shared" si="14"/>
        <v>168</v>
      </c>
      <c r="B183" s="585" t="s">
        <v>28</v>
      </c>
      <c r="C183" s="511">
        <f t="shared" si="16"/>
        <v>34.536000000000001</v>
      </c>
      <c r="D183" s="496"/>
      <c r="E183" s="537">
        <f>1.596+1.58</f>
        <v>3.1760000000000002</v>
      </c>
      <c r="F183" s="498"/>
      <c r="G183" s="511">
        <v>31.36</v>
      </c>
      <c r="H183" s="512"/>
      <c r="I183" s="487"/>
      <c r="J183" s="498"/>
      <c r="K183" s="514"/>
      <c r="L183" s="488"/>
      <c r="M183" s="411"/>
      <c r="N183" s="412"/>
    </row>
    <row r="184" spans="1:14" ht="15" customHeight="1" x14ac:dyDescent="0.2">
      <c r="A184" s="230">
        <f t="shared" si="14"/>
        <v>169</v>
      </c>
      <c r="B184" s="585" t="s">
        <v>16</v>
      </c>
      <c r="C184" s="511">
        <f t="shared" si="16"/>
        <v>95.539999999999992</v>
      </c>
      <c r="D184" s="496"/>
      <c r="E184" s="537">
        <v>0.96</v>
      </c>
      <c r="F184" s="498"/>
      <c r="G184" s="511">
        <v>94.58</v>
      </c>
      <c r="H184" s="512"/>
      <c r="I184" s="487"/>
      <c r="J184" s="498"/>
      <c r="K184" s="514"/>
      <c r="L184" s="488"/>
      <c r="M184" s="411"/>
      <c r="N184" s="412"/>
    </row>
    <row r="185" spans="1:14" ht="15" customHeight="1" x14ac:dyDescent="0.2">
      <c r="A185" s="230">
        <f t="shared" si="14"/>
        <v>170</v>
      </c>
      <c r="B185" s="585" t="s">
        <v>116</v>
      </c>
      <c r="C185" s="674">
        <f t="shared" ref="C185:D192" si="18">E185+G185+I185+K185</f>
        <v>100</v>
      </c>
      <c r="D185" s="675">
        <f t="shared" si="18"/>
        <v>97.876000000000005</v>
      </c>
      <c r="E185" s="514"/>
      <c r="F185" s="498"/>
      <c r="G185" s="674">
        <f>G186</f>
        <v>100</v>
      </c>
      <c r="H185" s="675">
        <f>H186</f>
        <v>97.876000000000005</v>
      </c>
      <c r="I185" s="487"/>
      <c r="J185" s="498"/>
      <c r="K185" s="514"/>
      <c r="L185" s="488"/>
      <c r="M185" s="411"/>
      <c r="N185" s="412"/>
    </row>
    <row r="186" spans="1:14" ht="15" customHeight="1" x14ac:dyDescent="0.2">
      <c r="A186" s="230">
        <f t="shared" si="14"/>
        <v>171</v>
      </c>
      <c r="B186" s="569" t="s">
        <v>245</v>
      </c>
      <c r="C186" s="487">
        <f t="shared" si="18"/>
        <v>100</v>
      </c>
      <c r="D186" s="498">
        <f>F186+H186+J186+L186</f>
        <v>97.876000000000005</v>
      </c>
      <c r="E186" s="514"/>
      <c r="F186" s="498"/>
      <c r="G186" s="487">
        <v>100</v>
      </c>
      <c r="H186" s="488">
        <v>97.876000000000005</v>
      </c>
      <c r="I186" s="487"/>
      <c r="J186" s="498"/>
      <c r="K186" s="514"/>
      <c r="L186" s="488"/>
      <c r="M186" s="411"/>
      <c r="N186" s="412"/>
    </row>
    <row r="187" spans="1:14" ht="15" customHeight="1" x14ac:dyDescent="0.2">
      <c r="A187" s="230">
        <f t="shared" si="14"/>
        <v>172</v>
      </c>
      <c r="B187" s="585" t="s">
        <v>238</v>
      </c>
      <c r="C187" s="511">
        <f t="shared" si="18"/>
        <v>528.6</v>
      </c>
      <c r="D187" s="498"/>
      <c r="E187" s="545">
        <f>SUM(E188:E190)</f>
        <v>528.6</v>
      </c>
      <c r="F187" s="496"/>
      <c r="G187" s="487"/>
      <c r="H187" s="488"/>
      <c r="I187" s="487"/>
      <c r="J187" s="498"/>
      <c r="K187" s="514"/>
      <c r="L187" s="488"/>
      <c r="M187" s="411"/>
      <c r="N187" s="412"/>
    </row>
    <row r="188" spans="1:14" ht="26.25" customHeight="1" x14ac:dyDescent="0.2">
      <c r="A188" s="230">
        <f t="shared" si="14"/>
        <v>173</v>
      </c>
      <c r="B188" s="571" t="s">
        <v>483</v>
      </c>
      <c r="C188" s="405">
        <f t="shared" si="18"/>
        <v>513.5</v>
      </c>
      <c r="D188" s="408"/>
      <c r="E188" s="570">
        <v>513.5</v>
      </c>
      <c r="F188" s="529"/>
      <c r="G188" s="487"/>
      <c r="H188" s="488"/>
      <c r="I188" s="487"/>
      <c r="J188" s="498"/>
      <c r="K188" s="514"/>
      <c r="L188" s="488"/>
      <c r="M188" s="411"/>
      <c r="N188" s="412"/>
    </row>
    <row r="189" spans="1:14" ht="15" customHeight="1" x14ac:dyDescent="0.2">
      <c r="A189" s="230">
        <f t="shared" si="14"/>
        <v>174</v>
      </c>
      <c r="B189" s="569" t="s">
        <v>71</v>
      </c>
      <c r="C189" s="487">
        <f t="shared" si="18"/>
        <v>0.1</v>
      </c>
      <c r="D189" s="498"/>
      <c r="E189" s="520">
        <v>0.1</v>
      </c>
      <c r="F189" s="498"/>
      <c r="G189" s="487"/>
      <c r="H189" s="488"/>
      <c r="I189" s="487"/>
      <c r="J189" s="498"/>
      <c r="K189" s="514"/>
      <c r="L189" s="488"/>
      <c r="M189" s="411"/>
      <c r="N189" s="412"/>
    </row>
    <row r="190" spans="1:14" ht="15" customHeight="1" x14ac:dyDescent="0.2">
      <c r="A190" s="230">
        <f t="shared" si="14"/>
        <v>175</v>
      </c>
      <c r="B190" s="572" t="s">
        <v>227</v>
      </c>
      <c r="C190" s="487">
        <f t="shared" si="18"/>
        <v>15</v>
      </c>
      <c r="D190" s="498"/>
      <c r="E190" s="514">
        <v>15</v>
      </c>
      <c r="F190" s="498"/>
      <c r="G190" s="526"/>
      <c r="H190" s="527"/>
      <c r="I190" s="487"/>
      <c r="J190" s="498"/>
      <c r="K190" s="516"/>
      <c r="L190" s="527"/>
      <c r="M190" s="411"/>
      <c r="N190" s="412"/>
    </row>
    <row r="191" spans="1:14" ht="15" customHeight="1" thickBot="1" x14ac:dyDescent="0.25">
      <c r="A191" s="234">
        <f t="shared" si="14"/>
        <v>176</v>
      </c>
      <c r="B191" s="616" t="s">
        <v>6</v>
      </c>
      <c r="C191" s="676">
        <f t="shared" si="18"/>
        <v>648.67799999999988</v>
      </c>
      <c r="D191" s="677">
        <f t="shared" si="18"/>
        <v>418.584</v>
      </c>
      <c r="E191" s="545">
        <v>24.378</v>
      </c>
      <c r="F191" s="542">
        <v>19.771000000000001</v>
      </c>
      <c r="G191" s="678">
        <v>287.89999999999998</v>
      </c>
      <c r="H191" s="436">
        <v>185.21</v>
      </c>
      <c r="I191" s="540"/>
      <c r="J191" s="541"/>
      <c r="K191" s="597">
        <v>336.4</v>
      </c>
      <c r="L191" s="436">
        <v>213.60300000000001</v>
      </c>
      <c r="M191" s="437"/>
      <c r="N191" s="438"/>
    </row>
    <row r="192" spans="1:14" ht="30" customHeight="1" thickBot="1" x14ac:dyDescent="0.25">
      <c r="A192" s="229">
        <f t="shared" si="14"/>
        <v>177</v>
      </c>
      <c r="B192" s="679" t="s">
        <v>246</v>
      </c>
      <c r="C192" s="618">
        <f t="shared" si="18"/>
        <v>5835.4567700000007</v>
      </c>
      <c r="D192" s="680"/>
      <c r="E192" s="681">
        <f>E193+E203+SUM(E207:E216)</f>
        <v>2280.8629000000001</v>
      </c>
      <c r="F192" s="682"/>
      <c r="G192" s="618">
        <f>G193+G203+SUM(G207:G216)</f>
        <v>3551.0938700000002</v>
      </c>
      <c r="H192" s="683"/>
      <c r="I192" s="684"/>
      <c r="J192" s="682"/>
      <c r="K192" s="685">
        <f>K193+K203+SUM(K207:K216)</f>
        <v>3.5</v>
      </c>
      <c r="L192" s="686"/>
      <c r="M192" s="443"/>
      <c r="N192" s="444"/>
    </row>
    <row r="193" spans="1:14" ht="15" customHeight="1" x14ac:dyDescent="0.2">
      <c r="A193" s="230">
        <f t="shared" si="14"/>
        <v>178</v>
      </c>
      <c r="B193" s="687" t="s">
        <v>241</v>
      </c>
      <c r="C193" s="688">
        <f>SUM(C194:C202)</f>
        <v>4610.8287700000001</v>
      </c>
      <c r="D193" s="689"/>
      <c r="E193" s="70">
        <f>SUM(E194:E202)</f>
        <v>1059.7348999999999</v>
      </c>
      <c r="F193" s="689"/>
      <c r="G193" s="688">
        <f>G197+G201+G195</f>
        <v>3551.0938700000002</v>
      </c>
      <c r="H193" s="690"/>
      <c r="I193" s="691"/>
      <c r="J193" s="692"/>
      <c r="K193" s="691"/>
      <c r="L193" s="693"/>
      <c r="M193" s="427"/>
      <c r="N193" s="428"/>
    </row>
    <row r="194" spans="1:14" ht="15" customHeight="1" x14ac:dyDescent="0.2">
      <c r="A194" s="230">
        <f t="shared" si="14"/>
        <v>179</v>
      </c>
      <c r="B194" s="694" t="s">
        <v>73</v>
      </c>
      <c r="C194" s="695">
        <f>E194+G194+I194+K194</f>
        <v>133</v>
      </c>
      <c r="D194" s="696"/>
      <c r="E194" s="582">
        <v>133</v>
      </c>
      <c r="F194" s="689"/>
      <c r="G194" s="697"/>
      <c r="H194" s="689"/>
      <c r="I194" s="631"/>
      <c r="J194" s="632"/>
      <c r="K194" s="633"/>
      <c r="L194" s="634"/>
      <c r="M194" s="411"/>
      <c r="N194" s="412"/>
    </row>
    <row r="195" spans="1:14" ht="25.5" customHeight="1" x14ac:dyDescent="0.2">
      <c r="A195" s="230">
        <f t="shared" si="14"/>
        <v>180</v>
      </c>
      <c r="B195" s="698" t="s">
        <v>476</v>
      </c>
      <c r="C195" s="536">
        <f>E195+G195+I195+K195</f>
        <v>358.02877000000001</v>
      </c>
      <c r="D195" s="699"/>
      <c r="E195" s="400">
        <f>98.7349+200</f>
        <v>298.73489999999998</v>
      </c>
      <c r="F195" s="699"/>
      <c r="G195" s="700">
        <v>59.293869999999998</v>
      </c>
      <c r="H195" s="699"/>
      <c r="I195" s="631"/>
      <c r="J195" s="632"/>
      <c r="K195" s="633"/>
      <c r="L195" s="634"/>
      <c r="M195" s="411"/>
      <c r="N195" s="412"/>
    </row>
    <row r="196" spans="1:14" ht="25.5" customHeight="1" x14ac:dyDescent="0.2">
      <c r="A196" s="230">
        <f t="shared" si="14"/>
        <v>181</v>
      </c>
      <c r="B196" s="571" t="s">
        <v>484</v>
      </c>
      <c r="C196" s="405">
        <f>E196+G196+I196+K196</f>
        <v>10</v>
      </c>
      <c r="D196" s="584"/>
      <c r="E196" s="570">
        <v>10</v>
      </c>
      <c r="F196" s="611"/>
      <c r="G196" s="610"/>
      <c r="H196" s="611"/>
      <c r="I196" s="487"/>
      <c r="J196" s="498"/>
      <c r="K196" s="514"/>
      <c r="L196" s="502"/>
      <c r="M196" s="411"/>
      <c r="N196" s="412"/>
    </row>
    <row r="197" spans="1:14" ht="15" customHeight="1" x14ac:dyDescent="0.2">
      <c r="A197" s="230">
        <f t="shared" si="14"/>
        <v>182</v>
      </c>
      <c r="B197" s="571" t="s">
        <v>497</v>
      </c>
      <c r="C197" s="405">
        <f>E197+G197+I197+K197</f>
        <v>998</v>
      </c>
      <c r="D197" s="584"/>
      <c r="E197" s="570"/>
      <c r="F197" s="408"/>
      <c r="G197" s="405">
        <v>998</v>
      </c>
      <c r="H197" s="408"/>
      <c r="I197" s="487"/>
      <c r="J197" s="498"/>
      <c r="K197" s="514"/>
      <c r="L197" s="502"/>
      <c r="M197" s="411"/>
      <c r="N197" s="412"/>
    </row>
    <row r="198" spans="1:14" ht="15" customHeight="1" x14ac:dyDescent="0.2">
      <c r="A198" s="230">
        <f t="shared" si="14"/>
        <v>183</v>
      </c>
      <c r="B198" s="571" t="s">
        <v>258</v>
      </c>
      <c r="C198" s="405">
        <f t="shared" ref="C198:C201" si="19">E198+G198+I198+K198</f>
        <v>55</v>
      </c>
      <c r="D198" s="584"/>
      <c r="E198" s="570">
        <v>55</v>
      </c>
      <c r="F198" s="408"/>
      <c r="G198" s="405"/>
      <c r="H198" s="408"/>
      <c r="I198" s="487"/>
      <c r="J198" s="498"/>
      <c r="K198" s="514"/>
      <c r="L198" s="502"/>
      <c r="M198" s="411"/>
      <c r="N198" s="412"/>
    </row>
    <row r="199" spans="1:14" ht="15" customHeight="1" x14ac:dyDescent="0.2">
      <c r="A199" s="230">
        <f t="shared" si="14"/>
        <v>184</v>
      </c>
      <c r="B199" s="571" t="s">
        <v>261</v>
      </c>
      <c r="C199" s="405">
        <f t="shared" si="19"/>
        <v>3</v>
      </c>
      <c r="D199" s="408"/>
      <c r="E199" s="570">
        <v>3</v>
      </c>
      <c r="F199" s="408"/>
      <c r="G199" s="405"/>
      <c r="H199" s="701"/>
      <c r="I199" s="487"/>
      <c r="J199" s="498"/>
      <c r="K199" s="514"/>
      <c r="L199" s="502"/>
      <c r="M199" s="411"/>
      <c r="N199" s="412"/>
    </row>
    <row r="200" spans="1:14" ht="15" customHeight="1" x14ac:dyDescent="0.2">
      <c r="A200" s="230">
        <f t="shared" si="14"/>
        <v>185</v>
      </c>
      <c r="B200" s="569" t="s">
        <v>74</v>
      </c>
      <c r="C200" s="405">
        <f>E200+G200+I200+K200</f>
        <v>400</v>
      </c>
      <c r="D200" s="408"/>
      <c r="E200" s="520">
        <v>400</v>
      </c>
      <c r="F200" s="702"/>
      <c r="G200" s="405"/>
      <c r="H200" s="701"/>
      <c r="I200" s="487"/>
      <c r="J200" s="498"/>
      <c r="K200" s="514"/>
      <c r="L200" s="502"/>
      <c r="M200" s="411"/>
      <c r="N200" s="412"/>
    </row>
    <row r="201" spans="1:14" ht="15" customHeight="1" x14ac:dyDescent="0.2">
      <c r="A201" s="230">
        <f t="shared" ref="A201:A232" si="20">A200+1</f>
        <v>186</v>
      </c>
      <c r="B201" s="630" t="s">
        <v>217</v>
      </c>
      <c r="C201" s="405">
        <f t="shared" si="19"/>
        <v>2573.8000000000002</v>
      </c>
      <c r="D201" s="408"/>
      <c r="E201" s="582">
        <v>80</v>
      </c>
      <c r="F201" s="703"/>
      <c r="G201" s="405">
        <v>2493.8000000000002</v>
      </c>
      <c r="H201" s="701"/>
      <c r="I201" s="487"/>
      <c r="J201" s="498"/>
      <c r="K201" s="514"/>
      <c r="L201" s="502"/>
      <c r="M201" s="411"/>
      <c r="N201" s="412"/>
    </row>
    <row r="202" spans="1:14" ht="15" customHeight="1" x14ac:dyDescent="0.2">
      <c r="A202" s="230">
        <f t="shared" si="20"/>
        <v>187</v>
      </c>
      <c r="B202" s="569" t="s">
        <v>224</v>
      </c>
      <c r="C202" s="487">
        <f>E202+G202+I202+K202</f>
        <v>80</v>
      </c>
      <c r="D202" s="498"/>
      <c r="E202" s="514">
        <v>80</v>
      </c>
      <c r="F202" s="529"/>
      <c r="G202" s="610"/>
      <c r="H202" s="529"/>
      <c r="I202" s="487"/>
      <c r="J202" s="529"/>
      <c r="K202" s="514"/>
      <c r="L202" s="704"/>
      <c r="M202" s="411"/>
      <c r="N202" s="412"/>
    </row>
    <row r="203" spans="1:14" ht="15" customHeight="1" x14ac:dyDescent="0.2">
      <c r="A203" s="230">
        <f t="shared" si="20"/>
        <v>188</v>
      </c>
      <c r="B203" s="585" t="s">
        <v>273</v>
      </c>
      <c r="C203" s="511">
        <f>E203+G203+I203+K203</f>
        <v>199.5</v>
      </c>
      <c r="D203" s="496"/>
      <c r="E203" s="537">
        <f>SUM(E204:E206)</f>
        <v>199.5</v>
      </c>
      <c r="F203" s="529"/>
      <c r="G203" s="487"/>
      <c r="H203" s="529"/>
      <c r="I203" s="487"/>
      <c r="J203" s="529"/>
      <c r="K203" s="514"/>
      <c r="L203" s="704"/>
      <c r="M203" s="411"/>
      <c r="N203" s="412"/>
    </row>
    <row r="204" spans="1:14" ht="15" customHeight="1" x14ac:dyDescent="0.2">
      <c r="A204" s="230">
        <f t="shared" si="20"/>
        <v>189</v>
      </c>
      <c r="B204" s="571" t="s">
        <v>234</v>
      </c>
      <c r="C204" s="487">
        <f>E204</f>
        <v>74.5</v>
      </c>
      <c r="D204" s="498"/>
      <c r="E204" s="514">
        <v>74.5</v>
      </c>
      <c r="F204" s="498"/>
      <c r="G204" s="487"/>
      <c r="H204" s="498"/>
      <c r="I204" s="487"/>
      <c r="J204" s="498"/>
      <c r="K204" s="514"/>
      <c r="L204" s="502"/>
      <c r="M204" s="411"/>
      <c r="N204" s="412"/>
    </row>
    <row r="205" spans="1:14" ht="27" customHeight="1" x14ac:dyDescent="0.2">
      <c r="A205" s="230">
        <f t="shared" si="20"/>
        <v>190</v>
      </c>
      <c r="B205" s="576" t="s">
        <v>262</v>
      </c>
      <c r="C205" s="405">
        <f t="shared" ref="C205:C225" si="21">E205+G205+I205+K205</f>
        <v>95</v>
      </c>
      <c r="D205" s="408"/>
      <c r="E205" s="570">
        <v>95</v>
      </c>
      <c r="F205" s="498"/>
      <c r="G205" s="487"/>
      <c r="H205" s="498"/>
      <c r="I205" s="487"/>
      <c r="J205" s="498"/>
      <c r="K205" s="514"/>
      <c r="L205" s="502"/>
      <c r="M205" s="411"/>
      <c r="N205" s="412"/>
    </row>
    <row r="206" spans="1:14" ht="15" customHeight="1" x14ac:dyDescent="0.2">
      <c r="A206" s="230">
        <f t="shared" si="20"/>
        <v>191</v>
      </c>
      <c r="B206" s="576" t="s">
        <v>528</v>
      </c>
      <c r="C206" s="487">
        <f t="shared" si="21"/>
        <v>30</v>
      </c>
      <c r="D206" s="498"/>
      <c r="E206" s="514">
        <v>30</v>
      </c>
      <c r="F206" s="498"/>
      <c r="G206" s="487"/>
      <c r="H206" s="498"/>
      <c r="I206" s="487"/>
      <c r="J206" s="498"/>
      <c r="K206" s="514"/>
      <c r="L206" s="502"/>
      <c r="M206" s="411"/>
      <c r="N206" s="412"/>
    </row>
    <row r="207" spans="1:14" ht="15" customHeight="1" x14ac:dyDescent="0.2">
      <c r="A207" s="230">
        <f t="shared" si="20"/>
        <v>192</v>
      </c>
      <c r="B207" s="585" t="s">
        <v>7</v>
      </c>
      <c r="C207" s="511">
        <f t="shared" si="21"/>
        <v>50.18</v>
      </c>
      <c r="D207" s="496"/>
      <c r="E207" s="537">
        <v>49.68</v>
      </c>
      <c r="F207" s="498"/>
      <c r="G207" s="487"/>
      <c r="H207" s="498"/>
      <c r="I207" s="487"/>
      <c r="J207" s="498"/>
      <c r="K207" s="537">
        <v>0.5</v>
      </c>
      <c r="L207" s="502"/>
      <c r="M207" s="411"/>
      <c r="N207" s="412"/>
    </row>
    <row r="208" spans="1:14" ht="15" customHeight="1" x14ac:dyDescent="0.2">
      <c r="A208" s="230">
        <f t="shared" si="20"/>
        <v>193</v>
      </c>
      <c r="B208" s="585" t="s">
        <v>8</v>
      </c>
      <c r="C208" s="511">
        <f t="shared" si="21"/>
        <v>19.940999999999999</v>
      </c>
      <c r="D208" s="496"/>
      <c r="E208" s="537">
        <v>19.940999999999999</v>
      </c>
      <c r="F208" s="496"/>
      <c r="G208" s="487"/>
      <c r="H208" s="498"/>
      <c r="I208" s="487"/>
      <c r="J208" s="498"/>
      <c r="K208" s="537"/>
      <c r="L208" s="705"/>
      <c r="M208" s="411"/>
      <c r="N208" s="412"/>
    </row>
    <row r="209" spans="1:14" ht="15" customHeight="1" x14ac:dyDescent="0.2">
      <c r="A209" s="230">
        <f t="shared" si="20"/>
        <v>194</v>
      </c>
      <c r="B209" s="585" t="s">
        <v>9</v>
      </c>
      <c r="C209" s="511">
        <f t="shared" si="21"/>
        <v>57.357999999999997</v>
      </c>
      <c r="D209" s="496"/>
      <c r="E209" s="537">
        <v>54.357999999999997</v>
      </c>
      <c r="F209" s="496"/>
      <c r="G209" s="487"/>
      <c r="H209" s="498"/>
      <c r="I209" s="487"/>
      <c r="J209" s="498"/>
      <c r="K209" s="537">
        <v>3</v>
      </c>
      <c r="L209" s="705"/>
      <c r="M209" s="411"/>
      <c r="N209" s="412"/>
    </row>
    <row r="210" spans="1:14" ht="15" customHeight="1" x14ac:dyDescent="0.2">
      <c r="A210" s="230">
        <f t="shared" si="20"/>
        <v>195</v>
      </c>
      <c r="B210" s="585" t="s">
        <v>10</v>
      </c>
      <c r="C210" s="511">
        <f t="shared" si="21"/>
        <v>5.69</v>
      </c>
      <c r="D210" s="496"/>
      <c r="E210" s="537">
        <v>5.69</v>
      </c>
      <c r="F210" s="496"/>
      <c r="G210" s="487"/>
      <c r="H210" s="498"/>
      <c r="I210" s="487"/>
      <c r="J210" s="498"/>
      <c r="K210" s="537"/>
      <c r="L210" s="705"/>
      <c r="M210" s="411"/>
      <c r="N210" s="412"/>
    </row>
    <row r="211" spans="1:14" ht="15" customHeight="1" x14ac:dyDescent="0.2">
      <c r="A211" s="230">
        <f t="shared" si="20"/>
        <v>196</v>
      </c>
      <c r="B211" s="585" t="s">
        <v>11</v>
      </c>
      <c r="C211" s="511">
        <f t="shared" si="21"/>
        <v>49.021999999999998</v>
      </c>
      <c r="D211" s="496"/>
      <c r="E211" s="537">
        <v>49.021999999999998</v>
      </c>
      <c r="F211" s="496"/>
      <c r="G211" s="487"/>
      <c r="H211" s="498"/>
      <c r="I211" s="487"/>
      <c r="J211" s="498"/>
      <c r="K211" s="537"/>
      <c r="L211" s="705"/>
      <c r="M211" s="411"/>
      <c r="N211" s="412"/>
    </row>
    <row r="212" spans="1:14" ht="15" customHeight="1" x14ac:dyDescent="0.2">
      <c r="A212" s="230">
        <f t="shared" si="20"/>
        <v>197</v>
      </c>
      <c r="B212" s="585" t="s">
        <v>12</v>
      </c>
      <c r="C212" s="511">
        <f t="shared" si="21"/>
        <v>79.394000000000005</v>
      </c>
      <c r="D212" s="496"/>
      <c r="E212" s="537">
        <v>79.394000000000005</v>
      </c>
      <c r="F212" s="496"/>
      <c r="G212" s="487"/>
      <c r="H212" s="498"/>
      <c r="I212" s="487"/>
      <c r="J212" s="498"/>
      <c r="K212" s="537"/>
      <c r="L212" s="705"/>
      <c r="M212" s="411"/>
      <c r="N212" s="412"/>
    </row>
    <row r="213" spans="1:14" ht="15" customHeight="1" x14ac:dyDescent="0.2">
      <c r="A213" s="230">
        <f t="shared" si="20"/>
        <v>198</v>
      </c>
      <c r="B213" s="585" t="s">
        <v>13</v>
      </c>
      <c r="C213" s="511">
        <f t="shared" si="21"/>
        <v>107.503</v>
      </c>
      <c r="D213" s="496"/>
      <c r="E213" s="537">
        <v>107.503</v>
      </c>
      <c r="F213" s="496"/>
      <c r="G213" s="487"/>
      <c r="H213" s="498"/>
      <c r="I213" s="487"/>
      <c r="J213" s="498"/>
      <c r="K213" s="537"/>
      <c r="L213" s="705"/>
      <c r="M213" s="411"/>
      <c r="N213" s="412"/>
    </row>
    <row r="214" spans="1:14" ht="15" customHeight="1" x14ac:dyDescent="0.2">
      <c r="A214" s="230">
        <f t="shared" si="20"/>
        <v>199</v>
      </c>
      <c r="B214" s="585" t="s">
        <v>14</v>
      </c>
      <c r="C214" s="511">
        <f t="shared" si="21"/>
        <v>12.507</v>
      </c>
      <c r="D214" s="496"/>
      <c r="E214" s="537">
        <v>12.507</v>
      </c>
      <c r="F214" s="496"/>
      <c r="G214" s="487"/>
      <c r="H214" s="498"/>
      <c r="I214" s="487"/>
      <c r="J214" s="498"/>
      <c r="K214" s="537"/>
      <c r="L214" s="705"/>
      <c r="M214" s="411"/>
      <c r="N214" s="412"/>
    </row>
    <row r="215" spans="1:14" ht="15" customHeight="1" x14ac:dyDescent="0.2">
      <c r="A215" s="230">
        <f t="shared" si="20"/>
        <v>200</v>
      </c>
      <c r="B215" s="706" t="s">
        <v>28</v>
      </c>
      <c r="C215" s="511">
        <f t="shared" si="21"/>
        <v>59.622</v>
      </c>
      <c r="D215" s="496"/>
      <c r="E215" s="537">
        <v>59.622</v>
      </c>
      <c r="F215" s="496"/>
      <c r="G215" s="487"/>
      <c r="H215" s="498"/>
      <c r="I215" s="487"/>
      <c r="J215" s="498"/>
      <c r="K215" s="537"/>
      <c r="L215" s="705"/>
      <c r="M215" s="411"/>
      <c r="N215" s="412"/>
    </row>
    <row r="216" spans="1:14" ht="15" customHeight="1" thickBot="1" x14ac:dyDescent="0.25">
      <c r="A216" s="234">
        <f t="shared" si="20"/>
        <v>201</v>
      </c>
      <c r="B216" s="707" t="s">
        <v>16</v>
      </c>
      <c r="C216" s="540">
        <f t="shared" si="21"/>
        <v>583.91099999999994</v>
      </c>
      <c r="D216" s="541"/>
      <c r="E216" s="545">
        <v>583.91099999999994</v>
      </c>
      <c r="F216" s="542"/>
      <c r="G216" s="526"/>
      <c r="H216" s="580"/>
      <c r="I216" s="526"/>
      <c r="J216" s="580"/>
      <c r="K216" s="545"/>
      <c r="L216" s="708"/>
      <c r="M216" s="437"/>
      <c r="N216" s="438"/>
    </row>
    <row r="217" spans="1:14" ht="28.5" customHeight="1" thickBot="1" x14ac:dyDescent="0.25">
      <c r="A217" s="229">
        <f t="shared" si="20"/>
        <v>202</v>
      </c>
      <c r="B217" s="679" t="s">
        <v>247</v>
      </c>
      <c r="C217" s="618">
        <f t="shared" si="21"/>
        <v>1956.76072</v>
      </c>
      <c r="D217" s="680"/>
      <c r="E217" s="551">
        <f>E218+E220+E226+E230</f>
        <v>1635.876</v>
      </c>
      <c r="F217" s="680"/>
      <c r="G217" s="618">
        <f>G218+G220+G226+G230</f>
        <v>320.88472000000002</v>
      </c>
      <c r="H217" s="682"/>
      <c r="I217" s="684"/>
      <c r="J217" s="682"/>
      <c r="K217" s="709"/>
      <c r="L217" s="710"/>
      <c r="M217" s="443"/>
      <c r="N217" s="444"/>
    </row>
    <row r="218" spans="1:14" ht="15" customHeight="1" x14ac:dyDescent="0.2">
      <c r="A218" s="230">
        <f t="shared" si="20"/>
        <v>203</v>
      </c>
      <c r="B218" s="711" t="s">
        <v>26</v>
      </c>
      <c r="C218" s="712">
        <f t="shared" si="21"/>
        <v>80</v>
      </c>
      <c r="D218" s="627"/>
      <c r="E218" s="102">
        <f>E219</f>
        <v>80</v>
      </c>
      <c r="F218" s="713"/>
      <c r="G218" s="628"/>
      <c r="H218" s="714"/>
      <c r="I218" s="628"/>
      <c r="J218" s="627"/>
      <c r="K218" s="628"/>
      <c r="L218" s="629"/>
      <c r="M218" s="427"/>
      <c r="N218" s="428"/>
    </row>
    <row r="219" spans="1:14" ht="15" customHeight="1" x14ac:dyDescent="0.2">
      <c r="A219" s="230">
        <f t="shared" si="20"/>
        <v>204</v>
      </c>
      <c r="B219" s="569" t="s">
        <v>77</v>
      </c>
      <c r="C219" s="610">
        <f t="shared" si="21"/>
        <v>80</v>
      </c>
      <c r="D219" s="632"/>
      <c r="E219" s="610">
        <v>80</v>
      </c>
      <c r="F219" s="632"/>
      <c r="G219" s="482"/>
      <c r="H219" s="715"/>
      <c r="I219" s="631"/>
      <c r="J219" s="632"/>
      <c r="K219" s="633"/>
      <c r="L219" s="634"/>
      <c r="M219" s="411"/>
      <c r="N219" s="412"/>
    </row>
    <row r="220" spans="1:14" ht="15" customHeight="1" x14ac:dyDescent="0.2">
      <c r="A220" s="230">
        <f t="shared" si="20"/>
        <v>205</v>
      </c>
      <c r="B220" s="585" t="s">
        <v>274</v>
      </c>
      <c r="C220" s="511">
        <f t="shared" si="21"/>
        <v>485.86900000000003</v>
      </c>
      <c r="D220" s="716"/>
      <c r="E220" s="674">
        <f>SUM(E221:E225)</f>
        <v>179.876</v>
      </c>
      <c r="F220" s="716"/>
      <c r="G220" s="674">
        <f>SUM(G221:G224)</f>
        <v>305.99299999999999</v>
      </c>
      <c r="H220" s="717"/>
      <c r="I220" s="499"/>
      <c r="J220" s="500"/>
      <c r="K220" s="501"/>
      <c r="L220" s="502"/>
      <c r="M220" s="411"/>
      <c r="N220" s="412"/>
    </row>
    <row r="221" spans="1:14" ht="15" customHeight="1" x14ac:dyDescent="0.2">
      <c r="A221" s="230">
        <f t="shared" si="20"/>
        <v>206</v>
      </c>
      <c r="B221" s="569" t="s">
        <v>221</v>
      </c>
      <c r="C221" s="487">
        <f t="shared" si="21"/>
        <v>287</v>
      </c>
      <c r="D221" s="500"/>
      <c r="E221" s="487"/>
      <c r="F221" s="500"/>
      <c r="G221" s="405">
        <v>287</v>
      </c>
      <c r="H221" s="699"/>
      <c r="I221" s="499"/>
      <c r="J221" s="500"/>
      <c r="K221" s="501"/>
      <c r="L221" s="502"/>
      <c r="M221" s="411"/>
      <c r="N221" s="412"/>
    </row>
    <row r="222" spans="1:14" ht="15" customHeight="1" x14ac:dyDescent="0.2">
      <c r="A222" s="230">
        <f t="shared" si="20"/>
        <v>207</v>
      </c>
      <c r="B222" s="569" t="s">
        <v>220</v>
      </c>
      <c r="C222" s="487">
        <f t="shared" si="21"/>
        <v>120</v>
      </c>
      <c r="D222" s="718"/>
      <c r="E222" s="405">
        <v>120</v>
      </c>
      <c r="F222" s="718"/>
      <c r="G222" s="405"/>
      <c r="H222" s="718"/>
      <c r="I222" s="499"/>
      <c r="J222" s="500"/>
      <c r="K222" s="501"/>
      <c r="L222" s="502"/>
      <c r="M222" s="411"/>
      <c r="N222" s="412"/>
    </row>
    <row r="223" spans="1:14" ht="15" customHeight="1" x14ac:dyDescent="0.2">
      <c r="A223" s="230">
        <f t="shared" si="20"/>
        <v>208</v>
      </c>
      <c r="B223" s="402" t="s">
        <v>485</v>
      </c>
      <c r="C223" s="405">
        <f t="shared" si="21"/>
        <v>50</v>
      </c>
      <c r="D223" s="718"/>
      <c r="E223" s="405">
        <v>50</v>
      </c>
      <c r="F223" s="718"/>
      <c r="G223" s="531"/>
      <c r="H223" s="406"/>
      <c r="I223" s="499"/>
      <c r="J223" s="500"/>
      <c r="K223" s="501"/>
      <c r="L223" s="502"/>
      <c r="M223" s="411"/>
      <c r="N223" s="412"/>
    </row>
    <row r="224" spans="1:14" ht="15" customHeight="1" x14ac:dyDescent="0.2">
      <c r="A224" s="230">
        <f t="shared" si="20"/>
        <v>209</v>
      </c>
      <c r="B224" s="402" t="s">
        <v>569</v>
      </c>
      <c r="C224" s="405">
        <f t="shared" si="21"/>
        <v>18.992999999999999</v>
      </c>
      <c r="D224" s="718"/>
      <c r="E224" s="719"/>
      <c r="F224" s="718"/>
      <c r="G224" s="719">
        <v>18.992999999999999</v>
      </c>
      <c r="H224" s="720"/>
      <c r="I224" s="499"/>
      <c r="J224" s="500"/>
      <c r="K224" s="501"/>
      <c r="L224" s="502"/>
      <c r="M224" s="411"/>
      <c r="N224" s="412"/>
    </row>
    <row r="225" spans="1:14" ht="15" customHeight="1" x14ac:dyDescent="0.2">
      <c r="A225" s="230">
        <f t="shared" si="20"/>
        <v>210</v>
      </c>
      <c r="B225" s="402" t="s">
        <v>674</v>
      </c>
      <c r="C225" s="405">
        <f t="shared" si="21"/>
        <v>9.8759999999999994</v>
      </c>
      <c r="D225" s="406"/>
      <c r="E225" s="407">
        <v>9.8759999999999994</v>
      </c>
      <c r="F225" s="406"/>
      <c r="G225" s="407"/>
      <c r="H225" s="721"/>
      <c r="I225" s="499"/>
      <c r="J225" s="500"/>
      <c r="K225" s="501"/>
      <c r="L225" s="502"/>
      <c r="M225" s="411"/>
      <c r="N225" s="412"/>
    </row>
    <row r="226" spans="1:14" ht="15" customHeight="1" x14ac:dyDescent="0.2">
      <c r="A226" s="230">
        <f t="shared" si="20"/>
        <v>211</v>
      </c>
      <c r="B226" s="558" t="s">
        <v>273</v>
      </c>
      <c r="C226" s="495">
        <f t="shared" ref="C226:C231" si="22">E226+G226+I226+K226</f>
        <v>970.89171999999996</v>
      </c>
      <c r="D226" s="716"/>
      <c r="E226" s="674">
        <f>SUM(E227:E229)</f>
        <v>956</v>
      </c>
      <c r="F226" s="722"/>
      <c r="G226" s="590">
        <f t="shared" ref="G226" si="23">SUM(G227:G229)</f>
        <v>14.891719999999999</v>
      </c>
      <c r="H226" s="500"/>
      <c r="I226" s="499"/>
      <c r="J226" s="500"/>
      <c r="K226" s="501"/>
      <c r="L226" s="502"/>
      <c r="M226" s="411"/>
      <c r="N226" s="412"/>
    </row>
    <row r="227" spans="1:14" ht="15" customHeight="1" x14ac:dyDescent="0.2">
      <c r="A227" s="230">
        <f t="shared" si="20"/>
        <v>212</v>
      </c>
      <c r="B227" s="568" t="s">
        <v>218</v>
      </c>
      <c r="C227" s="487">
        <f t="shared" si="22"/>
        <v>10</v>
      </c>
      <c r="D227" s="500"/>
      <c r="E227" s="487">
        <v>10</v>
      </c>
      <c r="F227" s="500"/>
      <c r="G227" s="499"/>
      <c r="H227" s="500"/>
      <c r="I227" s="499"/>
      <c r="J227" s="500"/>
      <c r="K227" s="723"/>
      <c r="L227" s="502"/>
      <c r="M227" s="411"/>
      <c r="N227" s="412"/>
    </row>
    <row r="228" spans="1:14" ht="15" customHeight="1" x14ac:dyDescent="0.2">
      <c r="A228" s="230">
        <f t="shared" si="20"/>
        <v>213</v>
      </c>
      <c r="B228" s="568" t="s">
        <v>248</v>
      </c>
      <c r="C228" s="487">
        <f t="shared" si="22"/>
        <v>700</v>
      </c>
      <c r="D228" s="717"/>
      <c r="E228" s="724">
        <v>700</v>
      </c>
      <c r="F228" s="717"/>
      <c r="G228" s="725"/>
      <c r="H228" s="717"/>
      <c r="I228" s="725"/>
      <c r="J228" s="717"/>
      <c r="K228" s="726"/>
      <c r="L228" s="727"/>
      <c r="M228" s="411"/>
      <c r="N228" s="412"/>
    </row>
    <row r="229" spans="1:14" ht="15" customHeight="1" x14ac:dyDescent="0.2">
      <c r="A229" s="230">
        <f t="shared" si="20"/>
        <v>214</v>
      </c>
      <c r="B229" s="569" t="s">
        <v>628</v>
      </c>
      <c r="C229" s="492">
        <f t="shared" si="22"/>
        <v>260.89172000000002</v>
      </c>
      <c r="D229" s="717"/>
      <c r="E229" s="724">
        <v>246</v>
      </c>
      <c r="F229" s="717"/>
      <c r="G229" s="376">
        <v>14.891719999999999</v>
      </c>
      <c r="H229" s="717"/>
      <c r="I229" s="725"/>
      <c r="J229" s="717"/>
      <c r="K229" s="726"/>
      <c r="L229" s="727"/>
      <c r="M229" s="411"/>
      <c r="N229" s="412"/>
    </row>
    <row r="230" spans="1:14" ht="15" customHeight="1" x14ac:dyDescent="0.2">
      <c r="A230" s="230">
        <f t="shared" si="20"/>
        <v>215</v>
      </c>
      <c r="B230" s="585" t="s">
        <v>238</v>
      </c>
      <c r="C230" s="511">
        <f t="shared" si="22"/>
        <v>420</v>
      </c>
      <c r="D230" s="728"/>
      <c r="E230" s="513">
        <f>E231</f>
        <v>420</v>
      </c>
      <c r="F230" s="717"/>
      <c r="G230" s="725"/>
      <c r="H230" s="717"/>
      <c r="I230" s="725"/>
      <c r="J230" s="717"/>
      <c r="K230" s="726"/>
      <c r="L230" s="727"/>
      <c r="M230" s="411"/>
      <c r="N230" s="412"/>
    </row>
    <row r="231" spans="1:14" ht="15" customHeight="1" thickBot="1" x14ac:dyDescent="0.25">
      <c r="A231" s="234">
        <f t="shared" si="20"/>
        <v>216</v>
      </c>
      <c r="B231" s="729" t="s">
        <v>249</v>
      </c>
      <c r="C231" s="487">
        <f t="shared" si="22"/>
        <v>420</v>
      </c>
      <c r="D231" s="728"/>
      <c r="E231" s="725">
        <v>420</v>
      </c>
      <c r="F231" s="717"/>
      <c r="G231" s="725"/>
      <c r="H231" s="717"/>
      <c r="I231" s="725"/>
      <c r="J231" s="717"/>
      <c r="K231" s="726"/>
      <c r="L231" s="727"/>
      <c r="M231" s="411"/>
      <c r="N231" s="412"/>
    </row>
    <row r="232" spans="1:14" ht="15" customHeight="1" thickBot="1" x14ac:dyDescent="0.25">
      <c r="A232" s="229">
        <f t="shared" si="20"/>
        <v>217</v>
      </c>
      <c r="B232" s="730" t="s">
        <v>211</v>
      </c>
      <c r="C232" s="620">
        <f t="shared" ref="C232:K232" si="24">C16+C56+C110+C148+C192+C217</f>
        <v>53409.175320000002</v>
      </c>
      <c r="D232" s="58">
        <f t="shared" si="24"/>
        <v>29345.340000000004</v>
      </c>
      <c r="E232" s="57">
        <f t="shared" si="24"/>
        <v>29804.550000000003</v>
      </c>
      <c r="F232" s="58">
        <f t="shared" si="24"/>
        <v>17042.659</v>
      </c>
      <c r="G232" s="620">
        <f t="shared" si="24"/>
        <v>12032.09332</v>
      </c>
      <c r="H232" s="58">
        <f t="shared" si="24"/>
        <v>2658.64</v>
      </c>
      <c r="I232" s="57">
        <f t="shared" si="24"/>
        <v>9619.4999999999982</v>
      </c>
      <c r="J232" s="58">
        <f t="shared" si="24"/>
        <v>9295.7720000000008</v>
      </c>
      <c r="K232" s="57">
        <f t="shared" si="24"/>
        <v>1528.973</v>
      </c>
      <c r="L232" s="56">
        <f>L16+L56+L110+L148+L192+L217+P234</f>
        <v>348.26900000000001</v>
      </c>
      <c r="M232" s="57">
        <f>M16+M56+M110+M148+M192+M217+Q234</f>
        <v>424.05900000000003</v>
      </c>
      <c r="N232" s="58"/>
    </row>
    <row r="233" spans="1:14" ht="15" customHeight="1" x14ac:dyDescent="0.2">
      <c r="A233" s="171"/>
      <c r="B233" s="176"/>
      <c r="C233" s="171"/>
      <c r="D233" s="171"/>
      <c r="I233" s="171"/>
      <c r="J233" s="171"/>
      <c r="K233" s="171"/>
      <c r="L233" s="171"/>
    </row>
    <row r="234" spans="1:14" ht="15" customHeight="1" x14ac:dyDescent="0.2">
      <c r="A234" s="171"/>
      <c r="B234" s="6" t="s">
        <v>110</v>
      </c>
      <c r="C234" s="171"/>
      <c r="D234" s="171"/>
      <c r="I234" s="171"/>
      <c r="J234" s="171"/>
      <c r="K234" s="171"/>
      <c r="L234" s="171"/>
    </row>
    <row r="235" spans="1:14" ht="15" customHeight="1" x14ac:dyDescent="0.2">
      <c r="A235" s="171"/>
      <c r="B235" s="177" t="s">
        <v>626</v>
      </c>
      <c r="C235" s="171"/>
      <c r="D235" s="171"/>
      <c r="I235" s="171"/>
      <c r="J235" s="171"/>
      <c r="K235" s="171"/>
      <c r="L235" s="171"/>
    </row>
    <row r="236" spans="1:14" ht="15" customHeight="1" x14ac:dyDescent="0.2">
      <c r="A236" s="171"/>
      <c r="B236" s="176" t="s">
        <v>296</v>
      </c>
      <c r="C236" s="171"/>
      <c r="D236" s="171"/>
      <c r="I236" s="171"/>
      <c r="J236" s="171"/>
      <c r="K236" s="171"/>
      <c r="L236" s="171"/>
    </row>
    <row r="237" spans="1:14" ht="15" customHeight="1" x14ac:dyDescent="0.2">
      <c r="A237" s="171"/>
      <c r="B237" s="6" t="s">
        <v>111</v>
      </c>
      <c r="C237" s="171"/>
      <c r="D237" s="171"/>
      <c r="I237" s="171"/>
      <c r="J237" s="171"/>
      <c r="K237" s="171"/>
      <c r="L237" s="171"/>
    </row>
    <row r="238" spans="1:14" ht="15" customHeight="1" x14ac:dyDescent="0.2">
      <c r="A238" s="171"/>
      <c r="B238" s="6" t="s">
        <v>627</v>
      </c>
      <c r="C238" s="171"/>
      <c r="D238" s="171"/>
      <c r="I238" s="171"/>
      <c r="J238" s="171"/>
      <c r="K238" s="171"/>
      <c r="L238" s="171"/>
    </row>
    <row r="240" spans="1:14" ht="15" customHeight="1" x14ac:dyDescent="0.2">
      <c r="G240" s="193"/>
    </row>
  </sheetData>
  <mergeCells count="11">
    <mergeCell ref="E14:F14"/>
    <mergeCell ref="I14:J14"/>
    <mergeCell ref="A14:A15"/>
    <mergeCell ref="B14:B15"/>
    <mergeCell ref="C14:D14"/>
    <mergeCell ref="H5:M5"/>
    <mergeCell ref="H6:M6"/>
    <mergeCell ref="H7:L7"/>
    <mergeCell ref="G14:H14"/>
    <mergeCell ref="K14:L14"/>
    <mergeCell ref="M14:N14"/>
  </mergeCells>
  <printOptions gridLines="1"/>
  <pageMargins left="0.51181102362204722" right="0" top="0.55118110236220474" bottom="0.15748031496062992" header="0.31496062992125984" footer="0.31496062992125984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7"/>
  <sheetViews>
    <sheetView zoomScaleNormal="100" workbookViewId="0">
      <selection activeCell="D6" sqref="D6"/>
    </sheetView>
  </sheetViews>
  <sheetFormatPr defaultRowHeight="12.75" x14ac:dyDescent="0.2"/>
  <cols>
    <col min="1" max="1" width="4.140625" customWidth="1"/>
    <col min="2" max="2" width="62.140625" customWidth="1"/>
    <col min="3" max="3" width="11.85546875" customWidth="1"/>
    <col min="4" max="4" width="27.42578125" customWidth="1"/>
    <col min="5" max="5" width="16.28515625" customWidth="1"/>
    <col min="6" max="6" width="18.42578125" customWidth="1"/>
  </cols>
  <sheetData>
    <row r="1" spans="1:7" ht="15.75" x14ac:dyDescent="0.25">
      <c r="B1" s="1"/>
      <c r="C1" s="1"/>
      <c r="D1" s="7" t="s">
        <v>25</v>
      </c>
      <c r="E1" s="7"/>
      <c r="F1" s="1"/>
      <c r="G1" s="170"/>
    </row>
    <row r="2" spans="1:7" ht="15.75" x14ac:dyDescent="0.25">
      <c r="B2" s="1"/>
      <c r="C2" s="1"/>
      <c r="D2" s="7" t="s">
        <v>559</v>
      </c>
      <c r="E2" s="233"/>
      <c r="F2" s="3"/>
      <c r="G2" s="172"/>
    </row>
    <row r="3" spans="1:7" ht="15.75" x14ac:dyDescent="0.25">
      <c r="B3" s="1"/>
      <c r="C3" s="1"/>
      <c r="D3" s="7" t="s">
        <v>35</v>
      </c>
      <c r="E3" s="7"/>
      <c r="F3" s="1"/>
      <c r="G3" s="170"/>
    </row>
    <row r="4" spans="1:7" ht="15.75" x14ac:dyDescent="0.25">
      <c r="B4" s="1"/>
      <c r="C4" s="1"/>
      <c r="D4" s="7" t="s">
        <v>581</v>
      </c>
      <c r="E4" s="7"/>
      <c r="F4" s="1"/>
      <c r="G4" s="170"/>
    </row>
    <row r="5" spans="1:7" ht="15.75" x14ac:dyDescent="0.25">
      <c r="B5" s="1"/>
      <c r="C5" s="1"/>
      <c r="D5" s="7" t="s">
        <v>693</v>
      </c>
      <c r="E5" s="233"/>
      <c r="F5" s="1"/>
      <c r="G5" s="170"/>
    </row>
    <row r="6" spans="1:7" ht="15.75" x14ac:dyDescent="0.25">
      <c r="B6" s="1"/>
      <c r="C6" s="1"/>
      <c r="D6" s="7" t="s">
        <v>582</v>
      </c>
      <c r="E6" s="7"/>
      <c r="F6" s="1"/>
      <c r="G6" s="170"/>
    </row>
    <row r="7" spans="1:7" ht="15.75" x14ac:dyDescent="0.25">
      <c r="B7" s="1"/>
      <c r="C7" s="1"/>
      <c r="D7" s="1"/>
      <c r="E7" s="1"/>
      <c r="F7" s="1"/>
    </row>
    <row r="8" spans="1:7" ht="15.75" x14ac:dyDescent="0.25">
      <c r="A8" s="3" t="s">
        <v>560</v>
      </c>
      <c r="B8" s="1"/>
      <c r="C8" s="1"/>
      <c r="D8" s="1"/>
      <c r="E8" s="231"/>
      <c r="F8" s="231"/>
    </row>
    <row r="9" spans="1:7" ht="15.75" x14ac:dyDescent="0.25">
      <c r="A9" s="1"/>
      <c r="B9" s="1" t="s">
        <v>561</v>
      </c>
      <c r="C9" s="1"/>
      <c r="D9" s="1"/>
      <c r="E9" s="231"/>
      <c r="F9" s="231"/>
    </row>
    <row r="10" spans="1:7" ht="15.75" thickBot="1" x14ac:dyDescent="0.25">
      <c r="A10" s="7"/>
      <c r="B10" s="231"/>
      <c r="C10" s="231"/>
      <c r="D10" s="231"/>
      <c r="E10" s="7" t="s">
        <v>607</v>
      </c>
      <c r="F10" s="231"/>
    </row>
    <row r="11" spans="1:7" x14ac:dyDescent="0.2">
      <c r="A11" s="867" t="s">
        <v>0</v>
      </c>
      <c r="B11" s="869" t="s">
        <v>386</v>
      </c>
      <c r="C11" s="869" t="s">
        <v>387</v>
      </c>
      <c r="D11" s="869" t="s">
        <v>388</v>
      </c>
      <c r="E11" s="869" t="s">
        <v>429</v>
      </c>
      <c r="F11" s="865" t="s">
        <v>50</v>
      </c>
    </row>
    <row r="12" spans="1:7" ht="30.75" customHeight="1" thickBot="1" x14ac:dyDescent="0.25">
      <c r="A12" s="868"/>
      <c r="B12" s="870"/>
      <c r="C12" s="871"/>
      <c r="D12" s="870"/>
      <c r="E12" s="870"/>
      <c r="F12" s="866"/>
    </row>
    <row r="13" spans="1:7" ht="25.5" x14ac:dyDescent="0.2">
      <c r="A13" s="774">
        <v>1</v>
      </c>
      <c r="B13" s="731" t="s">
        <v>389</v>
      </c>
      <c r="C13" s="732">
        <v>1</v>
      </c>
      <c r="D13" s="733" t="s">
        <v>26</v>
      </c>
      <c r="E13" s="734">
        <v>0.5</v>
      </c>
      <c r="F13" s="735"/>
    </row>
    <row r="14" spans="1:7" x14ac:dyDescent="0.2">
      <c r="A14" s="775">
        <f>A13+1</f>
        <v>2</v>
      </c>
      <c r="B14" s="736" t="s">
        <v>355</v>
      </c>
      <c r="C14" s="737">
        <v>1</v>
      </c>
      <c r="D14" s="738" t="s">
        <v>26</v>
      </c>
      <c r="E14" s="672">
        <v>26.8</v>
      </c>
      <c r="F14" s="673">
        <v>23.8</v>
      </c>
    </row>
    <row r="15" spans="1:7" x14ac:dyDescent="0.2">
      <c r="A15" s="775">
        <f t="shared" ref="A15:A59" si="0">A14+1</f>
        <v>3</v>
      </c>
      <c r="B15" s="736" t="s">
        <v>390</v>
      </c>
      <c r="C15" s="737">
        <v>1</v>
      </c>
      <c r="D15" s="738" t="s">
        <v>26</v>
      </c>
      <c r="E15" s="672">
        <v>25.3</v>
      </c>
      <c r="F15" s="673">
        <v>8.5</v>
      </c>
    </row>
    <row r="16" spans="1:7" x14ac:dyDescent="0.2">
      <c r="A16" s="775">
        <f t="shared" si="0"/>
        <v>4</v>
      </c>
      <c r="B16" s="739" t="s">
        <v>378</v>
      </c>
      <c r="C16" s="740">
        <v>1</v>
      </c>
      <c r="D16" s="738" t="s">
        <v>26</v>
      </c>
      <c r="E16" s="672">
        <v>9</v>
      </c>
      <c r="F16" s="673">
        <v>8.8710000000000004</v>
      </c>
    </row>
    <row r="17" spans="1:6" x14ac:dyDescent="0.2">
      <c r="A17" s="775">
        <f t="shared" si="0"/>
        <v>5</v>
      </c>
      <c r="B17" s="736" t="s">
        <v>374</v>
      </c>
      <c r="C17" s="737">
        <v>1</v>
      </c>
      <c r="D17" s="738" t="s">
        <v>26</v>
      </c>
      <c r="E17" s="672">
        <v>30.2</v>
      </c>
      <c r="F17" s="673">
        <v>25.7</v>
      </c>
    </row>
    <row r="18" spans="1:6" x14ac:dyDescent="0.2">
      <c r="A18" s="775">
        <f t="shared" si="0"/>
        <v>6</v>
      </c>
      <c r="B18" s="736" t="s">
        <v>372</v>
      </c>
      <c r="C18" s="737">
        <v>1</v>
      </c>
      <c r="D18" s="738" t="s">
        <v>26</v>
      </c>
      <c r="E18" s="672">
        <v>9.4</v>
      </c>
      <c r="F18" s="673">
        <v>8.3000000000000007</v>
      </c>
    </row>
    <row r="19" spans="1:6" ht="25.5" x14ac:dyDescent="0.2">
      <c r="A19" s="775">
        <f t="shared" si="0"/>
        <v>7</v>
      </c>
      <c r="B19" s="739" t="s">
        <v>488</v>
      </c>
      <c r="C19" s="737">
        <v>1</v>
      </c>
      <c r="D19" s="738" t="s">
        <v>26</v>
      </c>
      <c r="E19" s="672">
        <v>0.7</v>
      </c>
      <c r="F19" s="673"/>
    </row>
    <row r="20" spans="1:6" x14ac:dyDescent="0.2">
      <c r="A20" s="775">
        <f t="shared" si="0"/>
        <v>8</v>
      </c>
      <c r="B20" s="736" t="s">
        <v>391</v>
      </c>
      <c r="C20" s="737">
        <v>1</v>
      </c>
      <c r="D20" s="738" t="s">
        <v>26</v>
      </c>
      <c r="E20" s="672">
        <v>20.8</v>
      </c>
      <c r="F20" s="673">
        <v>20.399999999999999</v>
      </c>
    </row>
    <row r="21" spans="1:6" ht="13.5" customHeight="1" x14ac:dyDescent="0.2">
      <c r="A21" s="775">
        <f t="shared" si="0"/>
        <v>9</v>
      </c>
      <c r="B21" s="745" t="s">
        <v>301</v>
      </c>
      <c r="C21" s="756">
        <v>1</v>
      </c>
      <c r="D21" s="741" t="s">
        <v>238</v>
      </c>
      <c r="E21" s="672">
        <f>1.1+1.4</f>
        <v>2.5</v>
      </c>
      <c r="F21" s="673"/>
    </row>
    <row r="22" spans="1:6" x14ac:dyDescent="0.2">
      <c r="A22" s="775">
        <f t="shared" si="0"/>
        <v>10</v>
      </c>
      <c r="B22" s="736" t="s">
        <v>392</v>
      </c>
      <c r="C22" s="737"/>
      <c r="D22" s="738"/>
      <c r="E22" s="672">
        <f>E23+E24+E25</f>
        <v>173</v>
      </c>
      <c r="F22" s="673">
        <f>F23+F24+F25</f>
        <v>126.07600000000001</v>
      </c>
    </row>
    <row r="23" spans="1:6" x14ac:dyDescent="0.2">
      <c r="A23" s="775">
        <f t="shared" si="0"/>
        <v>11</v>
      </c>
      <c r="B23" s="776" t="s">
        <v>393</v>
      </c>
      <c r="C23" s="777">
        <v>4</v>
      </c>
      <c r="D23" s="778" t="s">
        <v>26</v>
      </c>
      <c r="E23" s="636">
        <v>100</v>
      </c>
      <c r="F23" s="408">
        <v>97.876000000000005</v>
      </c>
    </row>
    <row r="24" spans="1:6" x14ac:dyDescent="0.2">
      <c r="A24" s="775">
        <f t="shared" si="0"/>
        <v>12</v>
      </c>
      <c r="B24" s="776" t="s">
        <v>394</v>
      </c>
      <c r="C24" s="777">
        <v>1</v>
      </c>
      <c r="D24" s="778" t="s">
        <v>26</v>
      </c>
      <c r="E24" s="636">
        <v>3.4</v>
      </c>
      <c r="F24" s="637">
        <v>3</v>
      </c>
    </row>
    <row r="25" spans="1:6" x14ac:dyDescent="0.2">
      <c r="A25" s="775">
        <f t="shared" si="0"/>
        <v>13</v>
      </c>
      <c r="B25" s="776" t="s">
        <v>396</v>
      </c>
      <c r="C25" s="777">
        <v>4</v>
      </c>
      <c r="D25" s="779" t="s">
        <v>27</v>
      </c>
      <c r="E25" s="636">
        <v>69.599999999999994</v>
      </c>
      <c r="F25" s="637">
        <v>25.2</v>
      </c>
    </row>
    <row r="26" spans="1:6" x14ac:dyDescent="0.2">
      <c r="A26" s="775">
        <f t="shared" si="0"/>
        <v>14</v>
      </c>
      <c r="B26" s="736" t="s">
        <v>397</v>
      </c>
      <c r="C26" s="737">
        <v>1</v>
      </c>
      <c r="D26" s="738" t="s">
        <v>26</v>
      </c>
      <c r="E26" s="672">
        <v>5.6</v>
      </c>
      <c r="F26" s="673">
        <v>5.3</v>
      </c>
    </row>
    <row r="27" spans="1:6" x14ac:dyDescent="0.2">
      <c r="A27" s="775">
        <f t="shared" si="0"/>
        <v>15</v>
      </c>
      <c r="B27" s="736" t="s">
        <v>398</v>
      </c>
      <c r="C27" s="737">
        <v>1</v>
      </c>
      <c r="D27" s="738" t="s">
        <v>26</v>
      </c>
      <c r="E27" s="672"/>
      <c r="F27" s="742"/>
    </row>
    <row r="28" spans="1:6" x14ac:dyDescent="0.2">
      <c r="A28" s="775">
        <f t="shared" si="0"/>
        <v>16</v>
      </c>
      <c r="B28" s="736" t="s">
        <v>399</v>
      </c>
      <c r="C28" s="737"/>
      <c r="D28" s="738"/>
      <c r="E28" s="672">
        <f>E29+E30+E31</f>
        <v>528.4</v>
      </c>
      <c r="F28" s="673">
        <f>F29+F30+F31</f>
        <v>14</v>
      </c>
    </row>
    <row r="29" spans="1:6" x14ac:dyDescent="0.2">
      <c r="A29" s="775">
        <f t="shared" si="0"/>
        <v>17</v>
      </c>
      <c r="B29" s="776" t="s">
        <v>400</v>
      </c>
      <c r="C29" s="777">
        <v>4</v>
      </c>
      <c r="D29" s="778" t="s">
        <v>121</v>
      </c>
      <c r="E29" s="636">
        <v>508.1</v>
      </c>
      <c r="F29" s="637"/>
    </row>
    <row r="30" spans="1:6" x14ac:dyDescent="0.2">
      <c r="A30" s="775">
        <f t="shared" si="0"/>
        <v>18</v>
      </c>
      <c r="B30" s="776" t="s">
        <v>401</v>
      </c>
      <c r="C30" s="777">
        <v>1</v>
      </c>
      <c r="D30" s="778" t="s">
        <v>26</v>
      </c>
      <c r="E30" s="636">
        <v>15.3</v>
      </c>
      <c r="F30" s="637">
        <v>14</v>
      </c>
    </row>
    <row r="31" spans="1:6" x14ac:dyDescent="0.2">
      <c r="A31" s="775">
        <f t="shared" si="0"/>
        <v>19</v>
      </c>
      <c r="B31" s="776" t="s">
        <v>402</v>
      </c>
      <c r="C31" s="777">
        <v>1</v>
      </c>
      <c r="D31" s="778" t="s">
        <v>121</v>
      </c>
      <c r="E31" s="636">
        <v>5</v>
      </c>
      <c r="F31" s="780"/>
    </row>
    <row r="32" spans="1:6" x14ac:dyDescent="0.2">
      <c r="A32" s="775">
        <f t="shared" si="0"/>
        <v>20</v>
      </c>
      <c r="B32" s="736" t="s">
        <v>403</v>
      </c>
      <c r="C32" s="737"/>
      <c r="D32" s="778"/>
      <c r="E32" s="672">
        <f>E33+E34+E35</f>
        <v>944.2</v>
      </c>
      <c r="F32" s="673">
        <f>F33+F34+F35</f>
        <v>378.45600000000002</v>
      </c>
    </row>
    <row r="33" spans="1:6" x14ac:dyDescent="0.2">
      <c r="A33" s="775">
        <f t="shared" si="0"/>
        <v>21</v>
      </c>
      <c r="B33" s="776" t="s">
        <v>404</v>
      </c>
      <c r="C33" s="777">
        <v>4</v>
      </c>
      <c r="D33" s="778" t="s">
        <v>121</v>
      </c>
      <c r="E33" s="636">
        <f>456.6+88</f>
        <v>544.6</v>
      </c>
      <c r="F33" s="780"/>
    </row>
    <row r="34" spans="1:6" x14ac:dyDescent="0.2">
      <c r="A34" s="775">
        <f t="shared" si="0"/>
        <v>22</v>
      </c>
      <c r="B34" s="776" t="s">
        <v>405</v>
      </c>
      <c r="C34" s="777">
        <v>1</v>
      </c>
      <c r="D34" s="778" t="s">
        <v>26</v>
      </c>
      <c r="E34" s="636">
        <v>12.4</v>
      </c>
      <c r="F34" s="637">
        <v>11</v>
      </c>
    </row>
    <row r="35" spans="1:6" ht="25.5" x14ac:dyDescent="0.2">
      <c r="A35" s="775">
        <f t="shared" si="0"/>
        <v>23</v>
      </c>
      <c r="B35" s="776" t="s">
        <v>406</v>
      </c>
      <c r="C35" s="777">
        <v>4</v>
      </c>
      <c r="D35" s="779" t="s">
        <v>257</v>
      </c>
      <c r="E35" s="636">
        <f>475.2-88</f>
        <v>387.2</v>
      </c>
      <c r="F35" s="637">
        <f>454.13-86.674</f>
        <v>367.45600000000002</v>
      </c>
    </row>
    <row r="36" spans="1:6" x14ac:dyDescent="0.2">
      <c r="A36" s="775">
        <f t="shared" si="0"/>
        <v>24</v>
      </c>
      <c r="B36" s="736" t="s">
        <v>407</v>
      </c>
      <c r="C36" s="737"/>
      <c r="D36" s="778"/>
      <c r="E36" s="672">
        <f>E37+E38</f>
        <v>262.79999999999995</v>
      </c>
      <c r="F36" s="673">
        <f>F37+F38</f>
        <v>7</v>
      </c>
    </row>
    <row r="37" spans="1:6" x14ac:dyDescent="0.2">
      <c r="A37" s="775">
        <f t="shared" si="0"/>
        <v>25</v>
      </c>
      <c r="B37" s="776" t="s">
        <v>503</v>
      </c>
      <c r="C37" s="777">
        <v>1</v>
      </c>
      <c r="D37" s="778" t="s">
        <v>408</v>
      </c>
      <c r="E37" s="636">
        <v>7.7</v>
      </c>
      <c r="F37" s="637">
        <v>7</v>
      </c>
    </row>
    <row r="38" spans="1:6" x14ac:dyDescent="0.2">
      <c r="A38" s="775">
        <f t="shared" si="0"/>
        <v>26</v>
      </c>
      <c r="B38" s="776" t="s">
        <v>409</v>
      </c>
      <c r="C38" s="777">
        <v>4</v>
      </c>
      <c r="D38" s="778"/>
      <c r="E38" s="743">
        <f>SUM(E39:E48)</f>
        <v>255.09999999999997</v>
      </c>
      <c r="F38" s="780"/>
    </row>
    <row r="39" spans="1:6" x14ac:dyDescent="0.2">
      <c r="A39" s="775">
        <f t="shared" si="0"/>
        <v>27</v>
      </c>
      <c r="B39" s="776" t="s">
        <v>410</v>
      </c>
      <c r="C39" s="777">
        <v>4</v>
      </c>
      <c r="D39" s="778" t="s">
        <v>411</v>
      </c>
      <c r="E39" s="744">
        <v>20.184000000000001</v>
      </c>
      <c r="F39" s="780"/>
    </row>
    <row r="40" spans="1:6" x14ac:dyDescent="0.2">
      <c r="A40" s="775">
        <f t="shared" si="0"/>
        <v>28</v>
      </c>
      <c r="B40" s="776"/>
      <c r="C40" s="777">
        <v>4</v>
      </c>
      <c r="D40" s="778" t="s">
        <v>412</v>
      </c>
      <c r="E40" s="744">
        <v>14.896000000000001</v>
      </c>
      <c r="F40" s="780"/>
    </row>
    <row r="41" spans="1:6" x14ac:dyDescent="0.2">
      <c r="A41" s="775">
        <f t="shared" si="0"/>
        <v>29</v>
      </c>
      <c r="B41" s="776"/>
      <c r="C41" s="777">
        <v>4</v>
      </c>
      <c r="D41" s="778" t="s">
        <v>413</v>
      </c>
      <c r="E41" s="744">
        <v>17.248000000000001</v>
      </c>
      <c r="F41" s="780"/>
    </row>
    <row r="42" spans="1:6" x14ac:dyDescent="0.2">
      <c r="A42" s="775">
        <f t="shared" si="0"/>
        <v>30</v>
      </c>
      <c r="B42" s="776"/>
      <c r="C42" s="777">
        <v>4</v>
      </c>
      <c r="D42" s="778" t="s">
        <v>414</v>
      </c>
      <c r="E42" s="744">
        <v>6.6639999999999997</v>
      </c>
      <c r="F42" s="780"/>
    </row>
    <row r="43" spans="1:6" x14ac:dyDescent="0.2">
      <c r="A43" s="775">
        <f t="shared" si="0"/>
        <v>31</v>
      </c>
      <c r="B43" s="776"/>
      <c r="C43" s="777">
        <v>4</v>
      </c>
      <c r="D43" s="778" t="s">
        <v>415</v>
      </c>
      <c r="E43" s="744">
        <v>9.4079999999999995</v>
      </c>
      <c r="F43" s="780"/>
    </row>
    <row r="44" spans="1:6" x14ac:dyDescent="0.2">
      <c r="A44" s="775">
        <f t="shared" si="0"/>
        <v>32</v>
      </c>
      <c r="B44" s="776"/>
      <c r="C44" s="777">
        <v>4</v>
      </c>
      <c r="D44" s="778" t="s">
        <v>416</v>
      </c>
      <c r="E44" s="744">
        <v>27.832000000000001</v>
      </c>
      <c r="F44" s="780"/>
    </row>
    <row r="45" spans="1:6" x14ac:dyDescent="0.2">
      <c r="A45" s="775">
        <f t="shared" si="0"/>
        <v>33</v>
      </c>
      <c r="B45" s="776"/>
      <c r="C45" s="777">
        <v>4</v>
      </c>
      <c r="D45" s="778" t="s">
        <v>417</v>
      </c>
      <c r="E45" s="744">
        <v>21.952000000000002</v>
      </c>
      <c r="F45" s="780"/>
    </row>
    <row r="46" spans="1:6" x14ac:dyDescent="0.2">
      <c r="A46" s="775">
        <f t="shared" si="0"/>
        <v>34</v>
      </c>
      <c r="B46" s="776"/>
      <c r="C46" s="777">
        <v>4</v>
      </c>
      <c r="D46" s="778" t="s">
        <v>418</v>
      </c>
      <c r="E46" s="744">
        <v>10.976000000000001</v>
      </c>
      <c r="F46" s="780"/>
    </row>
    <row r="47" spans="1:6" x14ac:dyDescent="0.2">
      <c r="A47" s="775">
        <f t="shared" si="0"/>
        <v>35</v>
      </c>
      <c r="B47" s="776"/>
      <c r="C47" s="777">
        <v>4</v>
      </c>
      <c r="D47" s="778" t="s">
        <v>419</v>
      </c>
      <c r="E47" s="744">
        <v>31.36</v>
      </c>
      <c r="F47" s="780"/>
    </row>
    <row r="48" spans="1:6" x14ac:dyDescent="0.2">
      <c r="A48" s="775">
        <f t="shared" si="0"/>
        <v>36</v>
      </c>
      <c r="B48" s="776"/>
      <c r="C48" s="777">
        <v>4</v>
      </c>
      <c r="D48" s="778" t="s">
        <v>420</v>
      </c>
      <c r="E48" s="744">
        <v>94.58</v>
      </c>
      <c r="F48" s="780"/>
    </row>
    <row r="49" spans="1:6" x14ac:dyDescent="0.2">
      <c r="A49" s="775">
        <f t="shared" si="0"/>
        <v>37</v>
      </c>
      <c r="B49" s="736" t="s">
        <v>421</v>
      </c>
      <c r="C49" s="737">
        <v>1</v>
      </c>
      <c r="D49" s="738" t="s">
        <v>26</v>
      </c>
      <c r="E49" s="672">
        <v>4.8</v>
      </c>
      <c r="F49" s="673">
        <v>4.3</v>
      </c>
    </row>
    <row r="50" spans="1:6" x14ac:dyDescent="0.2">
      <c r="A50" s="775">
        <f t="shared" si="0"/>
        <v>38</v>
      </c>
      <c r="B50" s="736" t="s">
        <v>359</v>
      </c>
      <c r="C50" s="737">
        <v>1</v>
      </c>
      <c r="D50" s="738" t="s">
        <v>26</v>
      </c>
      <c r="E50" s="672">
        <v>3</v>
      </c>
      <c r="F50" s="673"/>
    </row>
    <row r="51" spans="1:6" x14ac:dyDescent="0.2">
      <c r="A51" s="775">
        <f t="shared" si="0"/>
        <v>39</v>
      </c>
      <c r="B51" s="736" t="s">
        <v>422</v>
      </c>
      <c r="C51" s="737">
        <v>1</v>
      </c>
      <c r="D51" s="738"/>
      <c r="E51" s="672">
        <f>E52+E53+E54+E55+E56+E57</f>
        <v>279.39999999999998</v>
      </c>
      <c r="F51" s="673">
        <f>F52+F53+F54+F55+F56+F57</f>
        <v>260</v>
      </c>
    </row>
    <row r="52" spans="1:6" x14ac:dyDescent="0.2">
      <c r="A52" s="775">
        <f t="shared" si="0"/>
        <v>40</v>
      </c>
      <c r="B52" s="778" t="s">
        <v>504</v>
      </c>
      <c r="C52" s="737">
        <v>1</v>
      </c>
      <c r="D52" s="778" t="s">
        <v>26</v>
      </c>
      <c r="E52" s="636">
        <v>276.89999999999998</v>
      </c>
      <c r="F52" s="637">
        <v>260</v>
      </c>
    </row>
    <row r="53" spans="1:6" x14ac:dyDescent="0.2">
      <c r="A53" s="775">
        <f t="shared" si="0"/>
        <v>41</v>
      </c>
      <c r="B53" s="736"/>
      <c r="C53" s="737">
        <v>1</v>
      </c>
      <c r="D53" s="778" t="s">
        <v>7</v>
      </c>
      <c r="E53" s="636">
        <v>0.5</v>
      </c>
      <c r="F53" s="673"/>
    </row>
    <row r="54" spans="1:6" x14ac:dyDescent="0.2">
      <c r="A54" s="775">
        <f t="shared" si="0"/>
        <v>42</v>
      </c>
      <c r="B54" s="736"/>
      <c r="C54" s="737">
        <v>1</v>
      </c>
      <c r="D54" s="778" t="s">
        <v>8</v>
      </c>
      <c r="E54" s="636">
        <v>0.5</v>
      </c>
      <c r="F54" s="673"/>
    </row>
    <row r="55" spans="1:6" x14ac:dyDescent="0.2">
      <c r="A55" s="775">
        <f t="shared" si="0"/>
        <v>43</v>
      </c>
      <c r="B55" s="736"/>
      <c r="C55" s="737">
        <v>1</v>
      </c>
      <c r="D55" s="778" t="s">
        <v>9</v>
      </c>
      <c r="E55" s="636">
        <v>0.5</v>
      </c>
      <c r="F55" s="673"/>
    </row>
    <row r="56" spans="1:6" x14ac:dyDescent="0.2">
      <c r="A56" s="775">
        <f t="shared" si="0"/>
        <v>44</v>
      </c>
      <c r="B56" s="736"/>
      <c r="C56" s="737">
        <v>1</v>
      </c>
      <c r="D56" s="778" t="s">
        <v>13</v>
      </c>
      <c r="E56" s="636">
        <v>0.5</v>
      </c>
      <c r="F56" s="673"/>
    </row>
    <row r="57" spans="1:6" x14ac:dyDescent="0.2">
      <c r="A57" s="775">
        <f t="shared" si="0"/>
        <v>45</v>
      </c>
      <c r="B57" s="736"/>
      <c r="C57" s="737">
        <v>1</v>
      </c>
      <c r="D57" s="778" t="s">
        <v>15</v>
      </c>
      <c r="E57" s="636">
        <v>0.5</v>
      </c>
      <c r="F57" s="673"/>
    </row>
    <row r="58" spans="1:6" x14ac:dyDescent="0.2">
      <c r="A58" s="775">
        <f t="shared" si="0"/>
        <v>46</v>
      </c>
      <c r="B58" s="736" t="s">
        <v>369</v>
      </c>
      <c r="C58" s="737">
        <v>6</v>
      </c>
      <c r="D58" s="778" t="s">
        <v>205</v>
      </c>
      <c r="E58" s="672">
        <v>287</v>
      </c>
      <c r="F58" s="780"/>
    </row>
    <row r="59" spans="1:6" x14ac:dyDescent="0.2">
      <c r="A59" s="775">
        <f t="shared" si="0"/>
        <v>47</v>
      </c>
      <c r="B59" s="736" t="s">
        <v>423</v>
      </c>
      <c r="C59" s="737">
        <v>1</v>
      </c>
      <c r="D59" s="776" t="s">
        <v>26</v>
      </c>
      <c r="E59" s="672">
        <v>8.3960000000000008</v>
      </c>
      <c r="F59" s="673">
        <v>5.42</v>
      </c>
    </row>
    <row r="60" spans="1:6" ht="25.5" x14ac:dyDescent="0.2">
      <c r="A60" s="775">
        <v>48</v>
      </c>
      <c r="B60" s="745" t="s">
        <v>573</v>
      </c>
      <c r="C60" s="737">
        <v>1</v>
      </c>
      <c r="D60" s="736" t="s">
        <v>26</v>
      </c>
      <c r="E60" s="672">
        <v>2.6680000000000001</v>
      </c>
      <c r="F60" s="673"/>
    </row>
    <row r="61" spans="1:6" x14ac:dyDescent="0.2">
      <c r="A61" s="775">
        <v>49</v>
      </c>
      <c r="B61" s="736" t="s">
        <v>1</v>
      </c>
      <c r="C61" s="737">
        <v>1</v>
      </c>
      <c r="D61" s="741" t="s">
        <v>1</v>
      </c>
      <c r="E61" s="672">
        <v>1234.5999999999999</v>
      </c>
      <c r="F61" s="673">
        <v>1150.7</v>
      </c>
    </row>
    <row r="62" spans="1:6" ht="16.5" customHeight="1" x14ac:dyDescent="0.2">
      <c r="A62" s="775">
        <v>50</v>
      </c>
      <c r="B62" s="736" t="s">
        <v>365</v>
      </c>
      <c r="C62" s="737">
        <v>4</v>
      </c>
      <c r="D62" s="746" t="s">
        <v>6</v>
      </c>
      <c r="E62" s="672">
        <v>287.89999999999998</v>
      </c>
      <c r="F62" s="673">
        <v>185.21</v>
      </c>
    </row>
    <row r="63" spans="1:6" ht="26.25" thickBot="1" x14ac:dyDescent="0.25">
      <c r="A63" s="781">
        <v>51</v>
      </c>
      <c r="B63" s="747" t="s">
        <v>424</v>
      </c>
      <c r="C63" s="748">
        <v>4</v>
      </c>
      <c r="D63" s="749" t="s">
        <v>257</v>
      </c>
      <c r="E63" s="750">
        <v>161</v>
      </c>
      <c r="F63" s="751">
        <v>88</v>
      </c>
    </row>
    <row r="64" spans="1:6" ht="34.5" customHeight="1" thickBot="1" x14ac:dyDescent="0.3">
      <c r="A64" s="782">
        <v>52</v>
      </c>
      <c r="B64" s="783" t="s">
        <v>671</v>
      </c>
      <c r="C64" s="784"/>
      <c r="D64" s="785"/>
      <c r="E64" s="786">
        <f>E63+E62+E61+E59+E58+E51+E50+E49+E36+E32+E28+E27+E26+E22+SUM(E13:E21)+E60</f>
        <v>4307.963999999999</v>
      </c>
      <c r="F64" s="787">
        <f>F63+F62+F61+F59+F58+F51+F50+F49+F36+F32+F28+F27+F26+F22+SUM(F13:F21)+F60</f>
        <v>2320.0330000000004</v>
      </c>
    </row>
    <row r="65" spans="1:6" ht="30" customHeight="1" x14ac:dyDescent="0.2">
      <c r="A65" s="774">
        <v>53</v>
      </c>
      <c r="B65" s="752" t="s">
        <v>324</v>
      </c>
      <c r="C65" s="753">
        <v>2</v>
      </c>
      <c r="D65" s="754" t="s">
        <v>603</v>
      </c>
      <c r="E65" s="734">
        <v>9619.5</v>
      </c>
      <c r="F65" s="755">
        <v>9312.3970000000008</v>
      </c>
    </row>
    <row r="66" spans="1:6" x14ac:dyDescent="0.2">
      <c r="A66" s="775">
        <v>54</v>
      </c>
      <c r="B66" s="739" t="s">
        <v>426</v>
      </c>
      <c r="C66" s="740">
        <v>4</v>
      </c>
      <c r="D66" s="746"/>
      <c r="E66" s="672">
        <v>182.2</v>
      </c>
      <c r="F66" s="673">
        <v>1.9</v>
      </c>
    </row>
    <row r="67" spans="1:6" ht="25.5" x14ac:dyDescent="0.2">
      <c r="A67" s="775">
        <v>55</v>
      </c>
      <c r="B67" s="788" t="s">
        <v>504</v>
      </c>
      <c r="C67" s="740"/>
      <c r="D67" s="779" t="s">
        <v>121</v>
      </c>
      <c r="E67" s="636">
        <v>178.6</v>
      </c>
      <c r="F67" s="637"/>
    </row>
    <row r="68" spans="1:6" x14ac:dyDescent="0.2">
      <c r="A68" s="775">
        <v>56</v>
      </c>
      <c r="B68" s="739" t="s">
        <v>637</v>
      </c>
      <c r="C68" s="740"/>
      <c r="D68" s="779" t="s">
        <v>26</v>
      </c>
      <c r="E68" s="636">
        <v>3.6</v>
      </c>
      <c r="F68" s="637">
        <v>1.9</v>
      </c>
    </row>
    <row r="69" spans="1:6" ht="25.5" x14ac:dyDescent="0.2">
      <c r="A69" s="775">
        <v>57</v>
      </c>
      <c r="B69" s="745" t="s">
        <v>427</v>
      </c>
      <c r="C69" s="756">
        <v>3</v>
      </c>
      <c r="D69" s="746" t="s">
        <v>288</v>
      </c>
      <c r="E69" s="672">
        <v>33.564</v>
      </c>
      <c r="F69" s="673"/>
    </row>
    <row r="70" spans="1:6" ht="25.5" x14ac:dyDescent="0.2">
      <c r="A70" s="775">
        <v>58</v>
      </c>
      <c r="B70" s="745" t="s">
        <v>382</v>
      </c>
      <c r="C70" s="756">
        <v>1</v>
      </c>
      <c r="D70" s="746" t="s">
        <v>26</v>
      </c>
      <c r="E70" s="672">
        <v>23.286999999999999</v>
      </c>
      <c r="F70" s="673">
        <v>22.954000000000001</v>
      </c>
    </row>
    <row r="71" spans="1:6" ht="25.5" x14ac:dyDescent="0.2">
      <c r="A71" s="775">
        <v>59</v>
      </c>
      <c r="B71" s="745" t="s">
        <v>381</v>
      </c>
      <c r="C71" s="756">
        <v>2</v>
      </c>
      <c r="D71" s="746" t="s">
        <v>34</v>
      </c>
      <c r="E71" s="672">
        <v>134.9</v>
      </c>
      <c r="F71" s="673">
        <v>100.893</v>
      </c>
    </row>
    <row r="72" spans="1:6" ht="25.5" x14ac:dyDescent="0.2">
      <c r="A72" s="775">
        <v>60</v>
      </c>
      <c r="B72" s="745" t="s">
        <v>473</v>
      </c>
      <c r="C72" s="756">
        <v>2</v>
      </c>
      <c r="D72" s="746" t="s">
        <v>287</v>
      </c>
      <c r="E72" s="672">
        <v>0.8</v>
      </c>
      <c r="F72" s="673"/>
    </row>
    <row r="73" spans="1:6" x14ac:dyDescent="0.2">
      <c r="A73" s="775">
        <v>61</v>
      </c>
      <c r="B73" s="745" t="s">
        <v>428</v>
      </c>
      <c r="C73" s="756">
        <v>2</v>
      </c>
      <c r="D73" s="746" t="s">
        <v>425</v>
      </c>
      <c r="E73" s="672">
        <v>131</v>
      </c>
      <c r="F73" s="757">
        <v>30.047999999999998</v>
      </c>
    </row>
    <row r="74" spans="1:6" ht="25.5" x14ac:dyDescent="0.2">
      <c r="A74" s="775">
        <v>62</v>
      </c>
      <c r="B74" s="745" t="s">
        <v>489</v>
      </c>
      <c r="C74" s="756">
        <v>2</v>
      </c>
      <c r="D74" s="746" t="s">
        <v>425</v>
      </c>
      <c r="E74" s="672">
        <v>28.28</v>
      </c>
      <c r="F74" s="673">
        <v>16.399999999999999</v>
      </c>
    </row>
    <row r="75" spans="1:6" ht="25.5" x14ac:dyDescent="0.2">
      <c r="A75" s="775">
        <v>63</v>
      </c>
      <c r="B75" s="758" t="s">
        <v>555</v>
      </c>
      <c r="C75" s="756"/>
      <c r="D75" s="746"/>
      <c r="E75" s="672">
        <f>E76+E77</f>
        <v>111.495</v>
      </c>
      <c r="F75" s="673">
        <f>F76+F77</f>
        <v>46.515000000000001</v>
      </c>
    </row>
    <row r="76" spans="1:6" ht="25.5" x14ac:dyDescent="0.2">
      <c r="A76" s="775">
        <v>64</v>
      </c>
      <c r="B76" s="759" t="s">
        <v>504</v>
      </c>
      <c r="C76" s="760">
        <v>4</v>
      </c>
      <c r="D76" s="779" t="s">
        <v>121</v>
      </c>
      <c r="E76" s="636">
        <v>109.309</v>
      </c>
      <c r="F76" s="637">
        <v>45</v>
      </c>
    </row>
    <row r="77" spans="1:6" x14ac:dyDescent="0.2">
      <c r="A77" s="775">
        <v>65</v>
      </c>
      <c r="B77" s="758"/>
      <c r="C77" s="760">
        <v>1</v>
      </c>
      <c r="D77" s="779" t="s">
        <v>26</v>
      </c>
      <c r="E77" s="636">
        <v>2.1859999999999999</v>
      </c>
      <c r="F77" s="637">
        <v>1.5149999999999999</v>
      </c>
    </row>
    <row r="78" spans="1:6" ht="25.5" x14ac:dyDescent="0.2">
      <c r="A78" s="775">
        <v>66</v>
      </c>
      <c r="B78" s="758" t="s">
        <v>502</v>
      </c>
      <c r="C78" s="756">
        <v>4</v>
      </c>
      <c r="D78" s="746" t="s">
        <v>121</v>
      </c>
      <c r="E78" s="672">
        <f>E79+E80</f>
        <v>110.282</v>
      </c>
      <c r="F78" s="673">
        <f>F79+F80</f>
        <v>1.9</v>
      </c>
    </row>
    <row r="79" spans="1:6" ht="25.5" x14ac:dyDescent="0.2">
      <c r="A79" s="775">
        <v>67</v>
      </c>
      <c r="B79" s="759" t="s">
        <v>504</v>
      </c>
      <c r="C79" s="760">
        <v>4</v>
      </c>
      <c r="D79" s="779" t="s">
        <v>121</v>
      </c>
      <c r="E79" s="636">
        <v>107.07</v>
      </c>
      <c r="F79" s="673"/>
    </row>
    <row r="80" spans="1:6" x14ac:dyDescent="0.2">
      <c r="A80" s="775">
        <v>68</v>
      </c>
      <c r="B80" s="739" t="s">
        <v>637</v>
      </c>
      <c r="C80" s="760">
        <v>1</v>
      </c>
      <c r="D80" s="779" t="s">
        <v>26</v>
      </c>
      <c r="E80" s="636">
        <v>3.2120000000000002</v>
      </c>
      <c r="F80" s="637">
        <v>1.9</v>
      </c>
    </row>
    <row r="81" spans="1:6" x14ac:dyDescent="0.2">
      <c r="A81" s="775">
        <f t="shared" ref="A81" si="1">A80+1</f>
        <v>69</v>
      </c>
      <c r="B81" s="758" t="s">
        <v>604</v>
      </c>
      <c r="C81" s="761"/>
      <c r="D81" s="746"/>
      <c r="E81" s="672">
        <v>24.678999999999998</v>
      </c>
      <c r="F81" s="762"/>
    </row>
    <row r="82" spans="1:6" ht="25.5" x14ac:dyDescent="0.2">
      <c r="A82" s="775">
        <v>70</v>
      </c>
      <c r="B82" s="758" t="s">
        <v>638</v>
      </c>
      <c r="C82" s="763">
        <v>4</v>
      </c>
      <c r="D82" s="779" t="s">
        <v>121</v>
      </c>
      <c r="E82" s="636">
        <v>24.678999999999998</v>
      </c>
      <c r="F82" s="764"/>
    </row>
    <row r="83" spans="1:6" x14ac:dyDescent="0.2">
      <c r="A83" s="775">
        <v>71</v>
      </c>
      <c r="B83" s="739" t="s">
        <v>637</v>
      </c>
      <c r="C83" s="763">
        <v>1</v>
      </c>
      <c r="D83" s="779" t="s">
        <v>26</v>
      </c>
      <c r="E83" s="636">
        <v>-3.5249999999999999</v>
      </c>
      <c r="F83" s="637">
        <v>-1.5149999999999999</v>
      </c>
    </row>
    <row r="84" spans="1:6" ht="30" customHeight="1" x14ac:dyDescent="0.2">
      <c r="A84" s="775">
        <v>72</v>
      </c>
      <c r="B84" s="745" t="s">
        <v>534</v>
      </c>
      <c r="C84" s="756">
        <v>5</v>
      </c>
      <c r="D84" s="746" t="s">
        <v>395</v>
      </c>
      <c r="E84" s="672">
        <v>998</v>
      </c>
      <c r="F84" s="673"/>
    </row>
    <row r="85" spans="1:6" ht="30" customHeight="1" x14ac:dyDescent="0.2">
      <c r="A85" s="775">
        <v>73</v>
      </c>
      <c r="B85" s="758" t="s">
        <v>565</v>
      </c>
      <c r="C85" s="763">
        <v>4</v>
      </c>
      <c r="D85" s="779" t="s">
        <v>257</v>
      </c>
      <c r="E85" s="672">
        <v>56.75</v>
      </c>
      <c r="F85" s="673">
        <v>55.938000000000002</v>
      </c>
    </row>
    <row r="86" spans="1:6" ht="25.5" x14ac:dyDescent="0.2">
      <c r="A86" s="775">
        <v>74</v>
      </c>
      <c r="B86" s="758" t="s">
        <v>583</v>
      </c>
      <c r="C86" s="756"/>
      <c r="D86" s="746"/>
      <c r="E86" s="672">
        <f>E87+E88</f>
        <v>46.391000000000005</v>
      </c>
      <c r="F86" s="673">
        <f>F87+F88</f>
        <v>45.427999999999997</v>
      </c>
    </row>
    <row r="87" spans="1:6" x14ac:dyDescent="0.2">
      <c r="A87" s="775">
        <v>75</v>
      </c>
      <c r="B87" s="232" t="s">
        <v>44</v>
      </c>
      <c r="C87" s="756">
        <v>4</v>
      </c>
      <c r="D87" s="779" t="s">
        <v>27</v>
      </c>
      <c r="E87" s="636">
        <v>34.963000000000001</v>
      </c>
      <c r="F87" s="637">
        <v>34.463000000000001</v>
      </c>
    </row>
    <row r="88" spans="1:6" ht="25.5" x14ac:dyDescent="0.2">
      <c r="A88" s="775">
        <v>76</v>
      </c>
      <c r="B88" s="232"/>
      <c r="C88" s="756">
        <v>4</v>
      </c>
      <c r="D88" s="779" t="s">
        <v>257</v>
      </c>
      <c r="E88" s="636">
        <v>11.428000000000001</v>
      </c>
      <c r="F88" s="637">
        <v>10.965</v>
      </c>
    </row>
    <row r="89" spans="1:6" ht="27" customHeight="1" x14ac:dyDescent="0.2">
      <c r="A89" s="775">
        <v>77</v>
      </c>
      <c r="B89" s="758" t="s">
        <v>584</v>
      </c>
      <c r="C89" s="756"/>
      <c r="D89" s="779"/>
      <c r="E89" s="765">
        <f>E90+E91</f>
        <v>41.332529999999998</v>
      </c>
      <c r="F89" s="673"/>
    </row>
    <row r="90" spans="1:6" ht="25.5" x14ac:dyDescent="0.2">
      <c r="A90" s="775">
        <v>78</v>
      </c>
      <c r="B90" s="232" t="s">
        <v>44</v>
      </c>
      <c r="C90" s="756">
        <v>4</v>
      </c>
      <c r="D90" s="779" t="s">
        <v>121</v>
      </c>
      <c r="E90" s="789">
        <f>34.54758+5.97452</f>
        <v>40.522100000000002</v>
      </c>
      <c r="F90" s="673"/>
    </row>
    <row r="91" spans="1:6" x14ac:dyDescent="0.2">
      <c r="A91" s="775">
        <v>79</v>
      </c>
      <c r="B91" s="739" t="s">
        <v>637</v>
      </c>
      <c r="C91" s="756">
        <v>1</v>
      </c>
      <c r="D91" s="779" t="s">
        <v>26</v>
      </c>
      <c r="E91" s="789">
        <f>0.69094+0.11949</f>
        <v>0.81042999999999998</v>
      </c>
      <c r="F91" s="673"/>
    </row>
    <row r="92" spans="1:6" ht="42.75" customHeight="1" x14ac:dyDescent="0.2">
      <c r="A92" s="775">
        <v>80</v>
      </c>
      <c r="B92" s="758" t="s">
        <v>676</v>
      </c>
      <c r="C92" s="756">
        <v>2</v>
      </c>
      <c r="D92" s="746"/>
      <c r="E92" s="672">
        <f>SUM(E93:E101)</f>
        <v>24.975999999999996</v>
      </c>
      <c r="F92" s="672">
        <f>SUM(F93:F101)</f>
        <v>19.385000000000002</v>
      </c>
    </row>
    <row r="93" spans="1:6" x14ac:dyDescent="0.2">
      <c r="A93" s="775">
        <v>81</v>
      </c>
      <c r="B93" s="766"/>
      <c r="C93" s="756"/>
      <c r="D93" s="766" t="s">
        <v>277</v>
      </c>
      <c r="E93" s="744">
        <v>2.8159999999999998</v>
      </c>
      <c r="F93" s="372">
        <v>0.41</v>
      </c>
    </row>
    <row r="94" spans="1:6" x14ac:dyDescent="0.2">
      <c r="A94" s="775">
        <v>82</v>
      </c>
      <c r="B94" s="766"/>
      <c r="C94" s="756"/>
      <c r="D94" s="766" t="s">
        <v>278</v>
      </c>
      <c r="E94" s="744">
        <v>3.056</v>
      </c>
      <c r="F94" s="372">
        <v>0.94199999999999995</v>
      </c>
    </row>
    <row r="95" spans="1:6" x14ac:dyDescent="0.2">
      <c r="A95" s="775">
        <v>83</v>
      </c>
      <c r="B95" s="766"/>
      <c r="C95" s="756"/>
      <c r="D95" s="766" t="s">
        <v>279</v>
      </c>
      <c r="E95" s="744">
        <v>0.70399999999999996</v>
      </c>
      <c r="F95" s="372">
        <v>1.02</v>
      </c>
    </row>
    <row r="96" spans="1:6" x14ac:dyDescent="0.2">
      <c r="A96" s="775">
        <v>84</v>
      </c>
      <c r="B96" s="766"/>
      <c r="C96" s="756"/>
      <c r="D96" s="766" t="s">
        <v>280</v>
      </c>
      <c r="E96" s="744">
        <v>0.70399999999999996</v>
      </c>
      <c r="F96" s="372">
        <v>1.02</v>
      </c>
    </row>
    <row r="97" spans="1:6" x14ac:dyDescent="0.2">
      <c r="A97" s="775">
        <v>85</v>
      </c>
      <c r="B97" s="766"/>
      <c r="C97" s="756"/>
      <c r="D97" s="766" t="s">
        <v>102</v>
      </c>
      <c r="E97" s="744">
        <v>11.16</v>
      </c>
      <c r="F97" s="372">
        <v>10.999000000000001</v>
      </c>
    </row>
    <row r="98" spans="1:6" x14ac:dyDescent="0.2">
      <c r="A98" s="775">
        <v>86</v>
      </c>
      <c r="B98" s="766"/>
      <c r="C98" s="756"/>
      <c r="D98" s="766" t="s">
        <v>20</v>
      </c>
      <c r="E98" s="744">
        <v>2.48</v>
      </c>
      <c r="F98" s="372">
        <v>2.444</v>
      </c>
    </row>
    <row r="99" spans="1:6" ht="25.5" x14ac:dyDescent="0.2">
      <c r="A99" s="775">
        <v>87</v>
      </c>
      <c r="B99" s="766"/>
      <c r="C99" s="756"/>
      <c r="D99" s="758" t="s">
        <v>679</v>
      </c>
      <c r="E99" s="744">
        <v>2.1120000000000001</v>
      </c>
      <c r="F99" s="372">
        <v>0.308</v>
      </c>
    </row>
    <row r="100" spans="1:6" ht="25.5" x14ac:dyDescent="0.2">
      <c r="A100" s="775">
        <v>88</v>
      </c>
      <c r="B100" s="766"/>
      <c r="C100" s="756"/>
      <c r="D100" s="758" t="s">
        <v>109</v>
      </c>
      <c r="E100" s="744">
        <v>0.70399999999999996</v>
      </c>
      <c r="F100" s="372">
        <v>1.02</v>
      </c>
    </row>
    <row r="101" spans="1:6" ht="14.25" customHeight="1" x14ac:dyDescent="0.2">
      <c r="A101" s="775">
        <v>89</v>
      </c>
      <c r="B101" s="766"/>
      <c r="C101" s="756"/>
      <c r="D101" s="758" t="s">
        <v>289</v>
      </c>
      <c r="E101" s="744">
        <v>1.24</v>
      </c>
      <c r="F101" s="372">
        <v>1.222</v>
      </c>
    </row>
    <row r="102" spans="1:6" x14ac:dyDescent="0.2">
      <c r="A102" s="775">
        <v>90</v>
      </c>
      <c r="B102" s="745" t="s">
        <v>569</v>
      </c>
      <c r="C102" s="756">
        <v>3</v>
      </c>
      <c r="D102" s="746" t="s">
        <v>205</v>
      </c>
      <c r="E102" s="765">
        <v>18.992999999999999</v>
      </c>
      <c r="F102" s="673"/>
    </row>
    <row r="103" spans="1:6" ht="25.5" x14ac:dyDescent="0.2">
      <c r="A103" s="775">
        <f>A102+1</f>
        <v>91</v>
      </c>
      <c r="B103" s="758" t="s">
        <v>572</v>
      </c>
      <c r="C103" s="756">
        <v>5</v>
      </c>
      <c r="D103" s="746" t="s">
        <v>395</v>
      </c>
      <c r="E103" s="765">
        <v>2493.8000000000002</v>
      </c>
      <c r="F103" s="673"/>
    </row>
    <row r="104" spans="1:6" x14ac:dyDescent="0.2">
      <c r="A104" s="775">
        <f t="shared" ref="A104:A114" si="2">A103+1</f>
        <v>92</v>
      </c>
      <c r="B104" s="758" t="s">
        <v>605</v>
      </c>
      <c r="C104" s="756"/>
      <c r="D104" s="746"/>
      <c r="E104" s="765">
        <f>E105+E106</f>
        <v>28.693200000000001</v>
      </c>
      <c r="F104" s="673"/>
    </row>
    <row r="105" spans="1:6" ht="25.5" x14ac:dyDescent="0.2">
      <c r="A105" s="775">
        <f t="shared" si="2"/>
        <v>93</v>
      </c>
      <c r="B105" s="759" t="s">
        <v>44</v>
      </c>
      <c r="C105" s="756">
        <v>4</v>
      </c>
      <c r="D105" s="779" t="s">
        <v>121</v>
      </c>
      <c r="E105" s="789">
        <v>27.58962</v>
      </c>
      <c r="F105" s="673"/>
    </row>
    <row r="106" spans="1:6" x14ac:dyDescent="0.2">
      <c r="A106" s="775">
        <f t="shared" si="2"/>
        <v>94</v>
      </c>
      <c r="B106" s="739" t="s">
        <v>637</v>
      </c>
      <c r="C106" s="756">
        <v>1</v>
      </c>
      <c r="D106" s="779" t="s">
        <v>26</v>
      </c>
      <c r="E106" s="789">
        <v>1.10358</v>
      </c>
      <c r="F106" s="673"/>
    </row>
    <row r="107" spans="1:6" ht="57.75" customHeight="1" x14ac:dyDescent="0.2">
      <c r="A107" s="775">
        <f t="shared" si="2"/>
        <v>95</v>
      </c>
      <c r="B107" s="758" t="s">
        <v>677</v>
      </c>
      <c r="C107" s="756"/>
      <c r="D107" s="758" t="s">
        <v>289</v>
      </c>
      <c r="E107" s="672">
        <v>6.3719999999999999</v>
      </c>
      <c r="F107" s="673"/>
    </row>
    <row r="108" spans="1:6" ht="38.25" x14ac:dyDescent="0.2">
      <c r="A108" s="775">
        <f t="shared" si="2"/>
        <v>96</v>
      </c>
      <c r="B108" s="758" t="s">
        <v>619</v>
      </c>
      <c r="C108" s="756">
        <v>6</v>
      </c>
      <c r="D108" s="746" t="s">
        <v>130</v>
      </c>
      <c r="E108" s="765">
        <v>14.891719999999999</v>
      </c>
      <c r="F108" s="673"/>
    </row>
    <row r="109" spans="1:6" ht="38.25" x14ac:dyDescent="0.2">
      <c r="A109" s="775">
        <f t="shared" si="2"/>
        <v>97</v>
      </c>
      <c r="B109" s="758" t="s">
        <v>678</v>
      </c>
      <c r="C109" s="756">
        <v>5</v>
      </c>
      <c r="D109" s="758" t="s">
        <v>620</v>
      </c>
      <c r="E109" s="765">
        <v>59.293869999999998</v>
      </c>
      <c r="F109" s="673"/>
    </row>
    <row r="110" spans="1:6" ht="25.5" x14ac:dyDescent="0.2">
      <c r="A110" s="775">
        <f t="shared" si="2"/>
        <v>98</v>
      </c>
      <c r="B110" s="758" t="s">
        <v>613</v>
      </c>
      <c r="C110" s="767">
        <v>4</v>
      </c>
      <c r="D110" s="746" t="s">
        <v>121</v>
      </c>
      <c r="E110" s="672">
        <f>3125.7+19.7</f>
        <v>3145.3999999999996</v>
      </c>
      <c r="F110" s="673"/>
    </row>
    <row r="111" spans="1:6" ht="55.5" customHeight="1" x14ac:dyDescent="0.2">
      <c r="A111" s="775">
        <f t="shared" si="2"/>
        <v>99</v>
      </c>
      <c r="B111" s="768" t="s">
        <v>652</v>
      </c>
      <c r="C111" s="756"/>
      <c r="D111" s="769"/>
      <c r="E111" s="672">
        <f>E112+E113</f>
        <v>8.7490000000000006</v>
      </c>
      <c r="F111" s="673"/>
    </row>
    <row r="112" spans="1:6" ht="25.5" x14ac:dyDescent="0.2">
      <c r="A112" s="775">
        <f t="shared" si="2"/>
        <v>100</v>
      </c>
      <c r="B112" s="770" t="s">
        <v>432</v>
      </c>
      <c r="C112" s="756">
        <v>4</v>
      </c>
      <c r="D112" s="779" t="s">
        <v>257</v>
      </c>
      <c r="E112" s="790">
        <v>7.6180000000000003</v>
      </c>
      <c r="F112" s="755"/>
    </row>
    <row r="113" spans="1:6" ht="26.25" thickBot="1" x14ac:dyDescent="0.25">
      <c r="A113" s="775">
        <f t="shared" si="2"/>
        <v>101</v>
      </c>
      <c r="B113" s="771"/>
      <c r="C113" s="772">
        <v>2</v>
      </c>
      <c r="D113" s="759" t="s">
        <v>653</v>
      </c>
      <c r="E113" s="791">
        <v>1.131</v>
      </c>
      <c r="F113" s="773"/>
    </row>
    <row r="114" spans="1:6" ht="39.75" customHeight="1" thickBot="1" x14ac:dyDescent="0.3">
      <c r="A114" s="775">
        <f t="shared" si="2"/>
        <v>102</v>
      </c>
      <c r="B114" s="792" t="s">
        <v>669</v>
      </c>
      <c r="C114" s="793"/>
      <c r="D114" s="785"/>
      <c r="E114" s="786">
        <f>E65+E66+E69+E70+E71+E72+E73+E75+E81+E84+E74+E78+E85+E86+E89+E102+E103+E92+E104+E107+E108+E109+E110+E111</f>
        <v>17343.62932</v>
      </c>
      <c r="F114" s="787">
        <f>F65+F66+F69+F70+F71+F72+F73+F75+F81+F84+F74+F78+F85+F86+F89+F102+F103+F92</f>
        <v>9653.7579999999998</v>
      </c>
    </row>
    <row r="115" spans="1:6" ht="15" customHeight="1" thickBot="1" x14ac:dyDescent="0.3">
      <c r="A115" s="794">
        <v>101</v>
      </c>
      <c r="B115" s="795" t="s">
        <v>670</v>
      </c>
      <c r="C115" s="784"/>
      <c r="D115" s="795"/>
      <c r="E115" s="796">
        <f>E64+E114</f>
        <v>21651.59332</v>
      </c>
      <c r="F115" s="787">
        <f>F64+F114</f>
        <v>11973.791000000001</v>
      </c>
    </row>
    <row r="116" spans="1:6" x14ac:dyDescent="0.2">
      <c r="A116" s="7"/>
      <c r="B116" s="7"/>
      <c r="C116" s="7"/>
      <c r="D116" s="7"/>
      <c r="E116" s="7"/>
      <c r="F116" s="7"/>
    </row>
    <row r="117" spans="1:6" x14ac:dyDescent="0.2">
      <c r="A117" s="7"/>
      <c r="B117" s="7"/>
      <c r="C117" s="7"/>
      <c r="D117" s="7"/>
      <c r="E117" s="7"/>
      <c r="F117" s="7"/>
    </row>
  </sheetData>
  <mergeCells count="6">
    <mergeCell ref="F11:F12"/>
    <mergeCell ref="A11:A12"/>
    <mergeCell ref="B11:B12"/>
    <mergeCell ref="C11:C12"/>
    <mergeCell ref="D11:D12"/>
    <mergeCell ref="E11:E12"/>
  </mergeCells>
  <phoneticPr fontId="9" type="noConversion"/>
  <pageMargins left="0.43307086614173229" right="0.23622047244094491" top="0.35433070866141736" bottom="0.35433070866141736" header="0.31496062992125984" footer="0.11811023622047245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2:P48"/>
  <sheetViews>
    <sheetView tabSelected="1" workbookViewId="0"/>
  </sheetViews>
  <sheetFormatPr defaultRowHeight="12.75" x14ac:dyDescent="0.2"/>
  <cols>
    <col min="1" max="1" width="3.85546875" customWidth="1"/>
    <col min="2" max="2" width="6.140625" customWidth="1"/>
    <col min="3" max="3" width="10.7109375" customWidth="1"/>
    <col min="4" max="4" width="25.85546875" customWidth="1"/>
    <col min="5" max="5" width="19" customWidth="1"/>
    <col min="6" max="6" width="13" customWidth="1"/>
    <col min="7" max="7" width="12.28515625" customWidth="1"/>
    <col min="8" max="8" width="12.140625" customWidth="1"/>
    <col min="9" max="9" width="11.85546875" customWidth="1"/>
    <col min="10" max="10" width="11.7109375" customWidth="1"/>
    <col min="11" max="11" width="12.28515625" customWidth="1"/>
    <col min="12" max="12" width="12.42578125" customWidth="1"/>
    <col min="13" max="13" width="11.7109375" customWidth="1"/>
    <col min="14" max="14" width="13.7109375" customWidth="1"/>
    <col min="15" max="15" width="12.28515625" customWidth="1"/>
    <col min="16" max="16" width="13" customWidth="1"/>
  </cols>
  <sheetData>
    <row r="2" spans="1:16" ht="15.75" x14ac:dyDescent="0.25">
      <c r="A2" s="7"/>
      <c r="B2" s="7"/>
      <c r="C2" s="7"/>
      <c r="D2" s="7"/>
      <c r="E2" s="7"/>
      <c r="F2" s="7"/>
      <c r="G2" s="7"/>
      <c r="L2" s="1" t="s">
        <v>236</v>
      </c>
      <c r="M2" s="1"/>
      <c r="N2" s="1"/>
    </row>
    <row r="3" spans="1:16" ht="15.75" x14ac:dyDescent="0.25">
      <c r="A3" s="7"/>
      <c r="B3" s="7"/>
      <c r="C3" s="7"/>
      <c r="D3" s="7"/>
      <c r="E3" s="7"/>
      <c r="F3" s="7"/>
      <c r="G3" s="7"/>
      <c r="L3" s="1" t="s">
        <v>562</v>
      </c>
      <c r="M3" s="1"/>
      <c r="N3" s="1"/>
    </row>
    <row r="4" spans="1:16" ht="15.75" x14ac:dyDescent="0.25">
      <c r="A4" s="7"/>
      <c r="B4" s="7"/>
      <c r="C4" s="7"/>
      <c r="D4" s="7"/>
      <c r="E4" s="7"/>
      <c r="F4" s="7"/>
      <c r="G4" s="7"/>
      <c r="L4" s="1" t="s">
        <v>237</v>
      </c>
      <c r="M4" s="1"/>
      <c r="N4" s="1"/>
    </row>
    <row r="5" spans="1:16" ht="15.75" x14ac:dyDescent="0.25">
      <c r="A5" s="7"/>
      <c r="B5" s="7"/>
      <c r="C5" s="7"/>
      <c r="D5" s="7"/>
      <c r="E5" s="7"/>
      <c r="F5" s="7"/>
      <c r="G5" s="7"/>
      <c r="L5" s="1" t="s">
        <v>581</v>
      </c>
      <c r="M5" s="1"/>
      <c r="N5" s="1"/>
    </row>
    <row r="6" spans="1:16" ht="15.75" x14ac:dyDescent="0.25">
      <c r="A6" s="7"/>
      <c r="B6" s="7"/>
      <c r="C6" s="7"/>
      <c r="D6" s="7"/>
      <c r="E6" s="7"/>
      <c r="F6" s="7"/>
      <c r="G6" s="7"/>
      <c r="L6" s="1" t="s">
        <v>694</v>
      </c>
      <c r="M6" s="197"/>
      <c r="N6" s="1"/>
    </row>
    <row r="7" spans="1:16" ht="15.75" x14ac:dyDescent="0.25">
      <c r="A7" s="7"/>
      <c r="B7" s="7"/>
      <c r="C7" s="7"/>
      <c r="D7" s="7"/>
      <c r="E7" s="7"/>
      <c r="F7" s="7"/>
      <c r="G7" s="7"/>
      <c r="L7" s="1" t="s">
        <v>582</v>
      </c>
      <c r="M7" s="1"/>
      <c r="N7" s="1"/>
    </row>
    <row r="8" spans="1:16" ht="14.25" customHeight="1" x14ac:dyDescent="0.2">
      <c r="A8" s="872" t="s">
        <v>673</v>
      </c>
      <c r="B8" s="873"/>
      <c r="C8" s="873"/>
      <c r="D8" s="873"/>
      <c r="E8" s="873"/>
      <c r="F8" s="873"/>
      <c r="G8" s="874"/>
      <c r="H8" s="874"/>
      <c r="I8" s="874"/>
      <c r="J8" s="874"/>
      <c r="K8" s="874"/>
      <c r="L8" s="874"/>
      <c r="M8" s="874"/>
      <c r="N8" s="207"/>
      <c r="O8" s="207"/>
      <c r="P8" s="207"/>
    </row>
    <row r="9" spans="1:16" ht="14.25" customHeight="1" x14ac:dyDescent="0.2">
      <c r="A9" s="872"/>
      <c r="B9" s="873"/>
      <c r="C9" s="873"/>
      <c r="D9" s="873"/>
      <c r="E9" s="873"/>
      <c r="F9" s="873"/>
      <c r="G9" s="874"/>
      <c r="H9" s="874"/>
      <c r="I9" s="874"/>
      <c r="J9" s="874"/>
      <c r="K9" s="874"/>
      <c r="L9" s="874"/>
      <c r="M9" s="874"/>
      <c r="N9" s="207"/>
      <c r="O9" s="207"/>
      <c r="P9" s="207"/>
    </row>
    <row r="10" spans="1:16" ht="14.25" customHeight="1" x14ac:dyDescent="0.2">
      <c r="A10" s="872"/>
      <c r="B10" s="873"/>
      <c r="C10" s="873"/>
      <c r="D10" s="873"/>
      <c r="E10" s="873"/>
      <c r="F10" s="873"/>
      <c r="G10" s="874"/>
      <c r="H10" s="874"/>
      <c r="I10" s="874"/>
      <c r="J10" s="874"/>
      <c r="K10" s="874"/>
      <c r="L10" s="874"/>
      <c r="M10" s="874"/>
      <c r="N10" s="207"/>
      <c r="O10" s="207"/>
      <c r="P10" s="207"/>
    </row>
    <row r="11" spans="1:16" ht="14.25" customHeight="1" x14ac:dyDescent="0.2">
      <c r="A11" s="872"/>
      <c r="B11" s="873"/>
      <c r="C11" s="873"/>
      <c r="D11" s="873"/>
      <c r="E11" s="873"/>
      <c r="F11" s="873"/>
      <c r="G11" s="874"/>
      <c r="H11" s="874"/>
      <c r="I11" s="874"/>
      <c r="J11" s="874"/>
      <c r="K11" s="874"/>
      <c r="L11" s="874"/>
      <c r="M11" s="874"/>
      <c r="N11" s="207"/>
      <c r="O11" s="207"/>
      <c r="P11" s="207"/>
    </row>
    <row r="12" spans="1:16" s="313" customFormat="1" ht="14.25" customHeight="1" x14ac:dyDescent="0.2">
      <c r="A12" s="873"/>
      <c r="B12" s="873"/>
      <c r="C12" s="873"/>
      <c r="D12" s="873"/>
      <c r="E12" s="873"/>
      <c r="F12" s="873"/>
      <c r="G12" s="874"/>
      <c r="H12" s="874"/>
      <c r="I12" s="874"/>
      <c r="J12" s="874"/>
      <c r="K12" s="874"/>
      <c r="L12" s="874"/>
      <c r="M12" s="874"/>
      <c r="N12" s="312"/>
      <c r="O12" s="312"/>
      <c r="P12" s="312"/>
    </row>
    <row r="13" spans="1:16" ht="15.75" customHeight="1" x14ac:dyDescent="0.25">
      <c r="A13" s="207"/>
      <c r="B13" s="207"/>
      <c r="C13" s="207"/>
      <c r="D13" s="3" t="s">
        <v>672</v>
      </c>
      <c r="E13" s="3"/>
      <c r="F13" s="3"/>
      <c r="G13" s="231"/>
      <c r="H13" s="207"/>
      <c r="I13" s="207"/>
      <c r="J13" s="207"/>
      <c r="K13" s="207"/>
      <c r="L13" s="207"/>
      <c r="M13" s="207"/>
      <c r="N13" s="207"/>
      <c r="O13" s="207"/>
      <c r="P13" s="207"/>
    </row>
    <row r="14" spans="1:16" ht="15" x14ac:dyDescent="0.2">
      <c r="D14" s="231"/>
      <c r="E14" s="231"/>
      <c r="F14" s="231"/>
      <c r="G14" s="231"/>
    </row>
    <row r="15" spans="1:16" x14ac:dyDescent="0.2">
      <c r="A15" s="875" t="s">
        <v>505</v>
      </c>
      <c r="B15" s="876" t="s">
        <v>506</v>
      </c>
      <c r="C15" s="877" t="s">
        <v>388</v>
      </c>
      <c r="D15" s="876" t="s">
        <v>430</v>
      </c>
      <c r="E15" s="875" t="s">
        <v>431</v>
      </c>
      <c r="F15" s="875" t="s">
        <v>507</v>
      </c>
      <c r="G15" s="307" t="s">
        <v>432</v>
      </c>
      <c r="H15" s="308"/>
      <c r="I15" s="308"/>
      <c r="J15" s="308"/>
      <c r="K15" s="880" t="s">
        <v>610</v>
      </c>
      <c r="L15" s="880"/>
      <c r="M15" s="880"/>
      <c r="N15" s="880"/>
      <c r="O15" s="880"/>
      <c r="P15" s="880"/>
    </row>
    <row r="16" spans="1:16" x14ac:dyDescent="0.2">
      <c r="A16" s="875"/>
      <c r="B16" s="876"/>
      <c r="C16" s="878"/>
      <c r="D16" s="876"/>
      <c r="E16" s="875"/>
      <c r="F16" s="875"/>
      <c r="G16" s="875" t="s">
        <v>433</v>
      </c>
      <c r="H16" s="880" t="s">
        <v>434</v>
      </c>
      <c r="I16" s="875" t="s">
        <v>435</v>
      </c>
      <c r="J16" s="880" t="s">
        <v>436</v>
      </c>
      <c r="K16" s="880"/>
      <c r="L16" s="880"/>
      <c r="M16" s="880"/>
      <c r="N16" s="880"/>
      <c r="O16" s="880"/>
      <c r="P16" s="880"/>
    </row>
    <row r="17" spans="1:16" ht="38.25" x14ac:dyDescent="0.2">
      <c r="A17" s="875"/>
      <c r="B17" s="876"/>
      <c r="C17" s="879"/>
      <c r="D17" s="876"/>
      <c r="E17" s="875"/>
      <c r="F17" s="875"/>
      <c r="G17" s="875"/>
      <c r="H17" s="880"/>
      <c r="I17" s="875"/>
      <c r="J17" s="880"/>
      <c r="K17" s="308" t="s">
        <v>429</v>
      </c>
      <c r="L17" s="307" t="s">
        <v>433</v>
      </c>
      <c r="M17" s="307" t="s">
        <v>437</v>
      </c>
      <c r="N17" s="307" t="s">
        <v>435</v>
      </c>
      <c r="O17" s="307" t="s">
        <v>438</v>
      </c>
      <c r="P17" s="307" t="s">
        <v>439</v>
      </c>
    </row>
    <row r="18" spans="1:16" ht="75" x14ac:dyDescent="0.2">
      <c r="A18" s="237">
        <v>1</v>
      </c>
      <c r="B18" s="238">
        <v>5</v>
      </c>
      <c r="C18" s="239" t="s">
        <v>508</v>
      </c>
      <c r="D18" s="240" t="s">
        <v>440</v>
      </c>
      <c r="E18" s="239" t="s">
        <v>441</v>
      </c>
      <c r="F18" s="241">
        <v>8976.65</v>
      </c>
      <c r="G18" s="242"/>
      <c r="H18" s="241">
        <v>6283.6549999999997</v>
      </c>
      <c r="I18" s="241"/>
      <c r="J18" s="241">
        <v>2692.9949999999999</v>
      </c>
      <c r="K18" s="241">
        <v>1448.9582</v>
      </c>
      <c r="L18" s="241"/>
      <c r="M18" s="241">
        <v>998</v>
      </c>
      <c r="N18" s="241"/>
      <c r="O18" s="244">
        <v>450.95819999999998</v>
      </c>
      <c r="P18" s="241"/>
    </row>
    <row r="19" spans="1:16" ht="60" x14ac:dyDescent="0.2">
      <c r="A19" s="237">
        <v>2</v>
      </c>
      <c r="B19" s="239">
        <v>5</v>
      </c>
      <c r="C19" s="239" t="s">
        <v>509</v>
      </c>
      <c r="D19" s="240" t="s">
        <v>510</v>
      </c>
      <c r="E19" s="239" t="s">
        <v>445</v>
      </c>
      <c r="F19" s="241">
        <v>1167.4100000000001</v>
      </c>
      <c r="G19" s="242"/>
      <c r="H19" s="242">
        <v>820.83</v>
      </c>
      <c r="I19" s="242"/>
      <c r="J19" s="242">
        <v>346.58</v>
      </c>
      <c r="K19" s="241">
        <v>912.72499999999991</v>
      </c>
      <c r="L19" s="242"/>
      <c r="M19" s="241">
        <v>720.60699999999997</v>
      </c>
      <c r="N19" s="241"/>
      <c r="O19" s="242"/>
      <c r="P19" s="242">
        <v>192.11799999999999</v>
      </c>
    </row>
    <row r="20" spans="1:16" ht="45" x14ac:dyDescent="0.2">
      <c r="A20" s="237">
        <v>3</v>
      </c>
      <c r="B20" s="238">
        <v>4</v>
      </c>
      <c r="C20" s="238" t="s">
        <v>509</v>
      </c>
      <c r="D20" s="240" t="s">
        <v>442</v>
      </c>
      <c r="E20" s="239" t="s">
        <v>441</v>
      </c>
      <c r="F20" s="241">
        <v>350.18266</v>
      </c>
      <c r="G20" s="243">
        <v>297.65526</v>
      </c>
      <c r="H20" s="244"/>
      <c r="I20" s="244"/>
      <c r="J20" s="244">
        <v>52.5274</v>
      </c>
      <c r="K20" s="241">
        <v>133.13317000000001</v>
      </c>
      <c r="L20" s="797">
        <v>113.16319</v>
      </c>
      <c r="M20" s="798">
        <v>0</v>
      </c>
      <c r="N20" s="798"/>
      <c r="O20" s="797" t="s">
        <v>586</v>
      </c>
      <c r="P20" s="797"/>
    </row>
    <row r="21" spans="1:16" ht="90" x14ac:dyDescent="0.2">
      <c r="A21" s="237">
        <v>4</v>
      </c>
      <c r="B21" s="238">
        <v>6</v>
      </c>
      <c r="C21" s="238" t="s">
        <v>509</v>
      </c>
      <c r="D21" s="240" t="s">
        <v>444</v>
      </c>
      <c r="E21" s="239" t="s">
        <v>445</v>
      </c>
      <c r="F21" s="241">
        <v>240.23569000000001</v>
      </c>
      <c r="G21" s="242">
        <v>161.31827000000001</v>
      </c>
      <c r="H21" s="241">
        <v>28.467929999999999</v>
      </c>
      <c r="I21" s="241"/>
      <c r="J21" s="242">
        <v>50.449489999999997</v>
      </c>
      <c r="K21" s="799">
        <v>225.89731</v>
      </c>
      <c r="L21" s="245">
        <v>151.69004000000001</v>
      </c>
      <c r="M21" s="245">
        <v>26.768830000000001</v>
      </c>
      <c r="N21" s="245"/>
      <c r="O21" s="245">
        <v>47.43844</v>
      </c>
      <c r="P21" s="242"/>
    </row>
    <row r="22" spans="1:16" ht="75" x14ac:dyDescent="0.2">
      <c r="A22" s="237">
        <v>5</v>
      </c>
      <c r="B22" s="238">
        <v>6</v>
      </c>
      <c r="C22" s="238" t="s">
        <v>509</v>
      </c>
      <c r="D22" s="240" t="s">
        <v>446</v>
      </c>
      <c r="E22" s="239" t="s">
        <v>445</v>
      </c>
      <c r="F22" s="241">
        <v>262.31412001999996</v>
      </c>
      <c r="G22" s="242">
        <v>176.1439316</v>
      </c>
      <c r="H22" s="241">
        <v>31.084223219999998</v>
      </c>
      <c r="I22" s="241"/>
      <c r="J22" s="242">
        <v>55.085965199999997</v>
      </c>
      <c r="K22" s="799">
        <v>123.90586099999999</v>
      </c>
      <c r="L22" s="246">
        <v>83.202789999999993</v>
      </c>
      <c r="M22" s="245">
        <v>14.682840000000001</v>
      </c>
      <c r="N22" s="245"/>
      <c r="O22" s="246">
        <v>26.020230999999999</v>
      </c>
      <c r="P22" s="242"/>
    </row>
    <row r="23" spans="1:16" ht="90" x14ac:dyDescent="0.2">
      <c r="A23" s="237">
        <v>6</v>
      </c>
      <c r="B23" s="238">
        <v>6</v>
      </c>
      <c r="C23" s="238" t="s">
        <v>509</v>
      </c>
      <c r="D23" s="240" t="s">
        <v>511</v>
      </c>
      <c r="E23" s="239" t="s">
        <v>512</v>
      </c>
      <c r="F23" s="241">
        <v>375</v>
      </c>
      <c r="G23" s="247">
        <v>251.8125</v>
      </c>
      <c r="H23" s="247">
        <v>44.4375</v>
      </c>
      <c r="I23" s="248"/>
      <c r="J23" s="247">
        <v>78.75</v>
      </c>
      <c r="K23" s="799">
        <v>180.01009999999999</v>
      </c>
      <c r="L23" s="800">
        <v>125.90625</v>
      </c>
      <c r="M23" s="801">
        <v>22.21875</v>
      </c>
      <c r="N23" s="801"/>
      <c r="O23" s="800">
        <v>31.885100000000001</v>
      </c>
      <c r="P23" s="242"/>
    </row>
    <row r="24" spans="1:16" ht="75" x14ac:dyDescent="0.2">
      <c r="A24" s="249">
        <v>7</v>
      </c>
      <c r="B24" s="250">
        <v>6</v>
      </c>
      <c r="C24" s="250" t="s">
        <v>509</v>
      </c>
      <c r="D24" s="251" t="s">
        <v>513</v>
      </c>
      <c r="E24" s="252" t="s">
        <v>512</v>
      </c>
      <c r="F24" s="241">
        <v>375</v>
      </c>
      <c r="G24" s="253">
        <v>251.8125</v>
      </c>
      <c r="H24" s="253">
        <v>44.4375</v>
      </c>
      <c r="I24" s="254"/>
      <c r="J24" s="255">
        <v>78.75</v>
      </c>
      <c r="K24" s="799">
        <v>180.01009999999999</v>
      </c>
      <c r="L24" s="800">
        <v>125.90625</v>
      </c>
      <c r="M24" s="801">
        <v>22.21875</v>
      </c>
      <c r="N24" s="801"/>
      <c r="O24" s="800">
        <v>31.885100000000001</v>
      </c>
      <c r="P24" s="242"/>
    </row>
    <row r="25" spans="1:16" ht="75" x14ac:dyDescent="0.2">
      <c r="A25" s="249">
        <v>8</v>
      </c>
      <c r="B25" s="250">
        <v>5</v>
      </c>
      <c r="C25" s="256" t="s">
        <v>509</v>
      </c>
      <c r="D25" s="257" t="s">
        <v>514</v>
      </c>
      <c r="E25" s="252" t="s">
        <v>512</v>
      </c>
      <c r="F25" s="241">
        <v>1644.30762</v>
      </c>
      <c r="G25" s="245">
        <v>944.90112999999997</v>
      </c>
      <c r="H25" s="245">
        <v>0</v>
      </c>
      <c r="I25" s="245">
        <v>376.63891000000001</v>
      </c>
      <c r="J25" s="258">
        <v>322.76758000000001</v>
      </c>
      <c r="K25" s="802">
        <v>1630.16166</v>
      </c>
      <c r="L25" s="803">
        <v>944.90112999999997</v>
      </c>
      <c r="M25" s="803"/>
      <c r="N25" s="803">
        <v>376.63891000000001</v>
      </c>
      <c r="O25" s="246">
        <v>0</v>
      </c>
      <c r="P25" s="804">
        <v>308.62162000000001</v>
      </c>
    </row>
    <row r="26" spans="1:16" ht="60" x14ac:dyDescent="0.2">
      <c r="A26" s="249">
        <v>9</v>
      </c>
      <c r="B26" s="259">
        <v>5</v>
      </c>
      <c r="C26" s="260" t="s">
        <v>509</v>
      </c>
      <c r="D26" s="261" t="s">
        <v>515</v>
      </c>
      <c r="E26" s="262" t="s">
        <v>512</v>
      </c>
      <c r="F26" s="241">
        <v>864.76860999999997</v>
      </c>
      <c r="G26" s="263">
        <v>569.47650999999996</v>
      </c>
      <c r="H26" s="264">
        <v>0</v>
      </c>
      <c r="I26" s="264">
        <v>226.99413000000001</v>
      </c>
      <c r="J26" s="265">
        <v>68.297970000000007</v>
      </c>
      <c r="K26" s="805">
        <v>864.76860999999997</v>
      </c>
      <c r="L26" s="246">
        <v>569.47650999999996</v>
      </c>
      <c r="M26" s="264"/>
      <c r="N26" s="264">
        <v>226.99413000000001</v>
      </c>
      <c r="O26" s="246"/>
      <c r="P26" s="265">
        <v>68.297970000000007</v>
      </c>
    </row>
    <row r="27" spans="1:16" ht="45" x14ac:dyDescent="0.2">
      <c r="A27" s="237">
        <v>10</v>
      </c>
      <c r="B27" s="238">
        <v>5</v>
      </c>
      <c r="C27" s="266" t="s">
        <v>509</v>
      </c>
      <c r="D27" s="240" t="s">
        <v>447</v>
      </c>
      <c r="E27" s="239" t="s">
        <v>445</v>
      </c>
      <c r="F27" s="241">
        <v>875.21031000000005</v>
      </c>
      <c r="G27" s="242"/>
      <c r="H27" s="241">
        <v>145.00851</v>
      </c>
      <c r="I27" s="241"/>
      <c r="J27" s="242">
        <v>730.20180000000005</v>
      </c>
      <c r="K27" s="241">
        <v>280</v>
      </c>
      <c r="L27" s="797"/>
      <c r="M27" s="798"/>
      <c r="N27" s="798"/>
      <c r="O27" s="797">
        <v>280</v>
      </c>
      <c r="P27" s="797"/>
    </row>
    <row r="28" spans="1:16" ht="90" x14ac:dyDescent="0.2">
      <c r="A28" s="237">
        <v>11</v>
      </c>
      <c r="B28" s="238">
        <v>5</v>
      </c>
      <c r="C28" s="238" t="s">
        <v>509</v>
      </c>
      <c r="D28" s="240" t="s">
        <v>448</v>
      </c>
      <c r="E28" s="239" t="s">
        <v>445</v>
      </c>
      <c r="F28" s="241">
        <v>66.622</v>
      </c>
      <c r="G28" s="241">
        <v>57.43553</v>
      </c>
      <c r="H28" s="7"/>
      <c r="I28" s="241"/>
      <c r="J28" s="241">
        <v>9.1864699999999999</v>
      </c>
      <c r="K28" s="241">
        <v>58.887529999999998</v>
      </c>
      <c r="L28" s="798">
        <v>57.43553</v>
      </c>
      <c r="M28" s="798"/>
      <c r="N28" s="798"/>
      <c r="O28" s="797">
        <v>1.452</v>
      </c>
      <c r="P28" s="797">
        <v>0</v>
      </c>
    </row>
    <row r="29" spans="1:16" ht="75" x14ac:dyDescent="0.2">
      <c r="A29" s="237">
        <v>12</v>
      </c>
      <c r="B29" s="238">
        <v>5</v>
      </c>
      <c r="C29" s="238" t="s">
        <v>509</v>
      </c>
      <c r="D29" s="240" t="s">
        <v>611</v>
      </c>
      <c r="E29" s="239" t="s">
        <v>445</v>
      </c>
      <c r="F29" s="241">
        <v>73.252899999999997</v>
      </c>
      <c r="G29" s="267">
        <v>58.602319999999999</v>
      </c>
      <c r="H29" s="267"/>
      <c r="I29" s="268"/>
      <c r="J29" s="269">
        <v>14.65058</v>
      </c>
      <c r="K29" s="241">
        <v>0.49609999999999999</v>
      </c>
      <c r="L29" s="246">
        <v>0.39688000000000001</v>
      </c>
      <c r="M29" s="245"/>
      <c r="N29" s="245"/>
      <c r="O29" s="246">
        <v>9.9220000000000003E-2</v>
      </c>
      <c r="P29" s="797"/>
    </row>
    <row r="30" spans="1:16" ht="75" x14ac:dyDescent="0.2">
      <c r="A30" s="237">
        <v>13</v>
      </c>
      <c r="B30" s="238">
        <v>4</v>
      </c>
      <c r="C30" s="239" t="s">
        <v>516</v>
      </c>
      <c r="D30" s="240" t="s">
        <v>443</v>
      </c>
      <c r="E30" s="239" t="s">
        <v>441</v>
      </c>
      <c r="F30" s="241">
        <v>370.71854999999999</v>
      </c>
      <c r="G30" s="238">
        <v>370.71854999999999</v>
      </c>
      <c r="H30" s="238"/>
      <c r="I30" s="238"/>
      <c r="J30" s="238"/>
      <c r="K30" s="799">
        <v>38.10201</v>
      </c>
      <c r="L30" s="246">
        <v>38.10201</v>
      </c>
      <c r="M30" s="241"/>
      <c r="N30" s="241"/>
      <c r="O30" s="242">
        <v>0</v>
      </c>
      <c r="P30" s="242"/>
    </row>
    <row r="31" spans="1:16" ht="60" x14ac:dyDescent="0.2">
      <c r="A31" s="237">
        <v>14</v>
      </c>
      <c r="B31" s="238">
        <v>4</v>
      </c>
      <c r="C31" s="238" t="s">
        <v>509</v>
      </c>
      <c r="D31" s="240" t="s">
        <v>449</v>
      </c>
      <c r="E31" s="239" t="s">
        <v>450</v>
      </c>
      <c r="F31" s="241">
        <v>329.54992000000004</v>
      </c>
      <c r="G31" s="241">
        <v>254.61743000000001</v>
      </c>
      <c r="H31" s="241">
        <v>44.932490000000001</v>
      </c>
      <c r="I31" s="241"/>
      <c r="J31" s="241">
        <v>30</v>
      </c>
      <c r="K31" s="241">
        <v>126.59965000000001</v>
      </c>
      <c r="L31" s="246">
        <v>104.95144000000001</v>
      </c>
      <c r="M31" s="245">
        <v>18.52084</v>
      </c>
      <c r="N31" s="799"/>
      <c r="O31" s="270"/>
      <c r="P31" s="246">
        <v>3.12737</v>
      </c>
    </row>
    <row r="32" spans="1:16" ht="45" x14ac:dyDescent="0.2">
      <c r="A32" s="237">
        <v>15</v>
      </c>
      <c r="B32" s="238">
        <v>5</v>
      </c>
      <c r="C32" s="238" t="s">
        <v>509</v>
      </c>
      <c r="D32" s="240" t="s">
        <v>451</v>
      </c>
      <c r="E32" s="239" t="s">
        <v>450</v>
      </c>
      <c r="F32" s="241">
        <v>305.84480000000002</v>
      </c>
      <c r="G32" s="246">
        <v>244.66784000000001</v>
      </c>
      <c r="H32" s="270"/>
      <c r="I32" s="270"/>
      <c r="J32" s="246">
        <v>61.176960000000001</v>
      </c>
      <c r="K32" s="241">
        <v>1.21</v>
      </c>
      <c r="L32" s="806">
        <v>0.96799999999999997</v>
      </c>
      <c r="M32" s="7"/>
      <c r="N32" s="807"/>
      <c r="O32" s="808">
        <v>0.24199999999999999</v>
      </c>
      <c r="P32" s="242"/>
    </row>
    <row r="33" spans="1:16" ht="75" x14ac:dyDescent="0.2">
      <c r="A33" s="237">
        <v>16</v>
      </c>
      <c r="B33" s="238">
        <v>4</v>
      </c>
      <c r="C33" s="238" t="s">
        <v>509</v>
      </c>
      <c r="D33" s="240" t="s">
        <v>452</v>
      </c>
      <c r="E33" s="271" t="s">
        <v>517</v>
      </c>
      <c r="F33" s="241">
        <v>326.84796</v>
      </c>
      <c r="G33" s="241">
        <v>185.8066</v>
      </c>
      <c r="H33" s="241">
        <v>32.789400000000001</v>
      </c>
      <c r="I33" s="241">
        <v>68.784769999999995</v>
      </c>
      <c r="J33" s="238">
        <v>39.467190000000002</v>
      </c>
      <c r="K33" s="241">
        <v>14.5101</v>
      </c>
      <c r="L33" s="241"/>
      <c r="M33" s="241"/>
      <c r="N33" s="241"/>
      <c r="O33" s="241">
        <v>14.5101</v>
      </c>
      <c r="P33" s="241"/>
    </row>
    <row r="34" spans="1:16" ht="45.75" thickBot="1" x14ac:dyDescent="0.25">
      <c r="A34" s="237">
        <v>17</v>
      </c>
      <c r="B34" s="238">
        <v>5</v>
      </c>
      <c r="C34" s="238" t="s">
        <v>509</v>
      </c>
      <c r="D34" s="240" t="s">
        <v>684</v>
      </c>
      <c r="E34" s="239" t="s">
        <v>457</v>
      </c>
      <c r="F34" s="241">
        <v>400</v>
      </c>
      <c r="G34" s="272">
        <v>238.12799999999999</v>
      </c>
      <c r="H34" s="247">
        <v>0</v>
      </c>
      <c r="I34" s="248">
        <v>0</v>
      </c>
      <c r="J34" s="273">
        <v>161.87200000000001</v>
      </c>
      <c r="K34" s="241">
        <v>400</v>
      </c>
      <c r="L34" s="242">
        <v>238.12799999999999</v>
      </c>
      <c r="M34" s="241">
        <v>0</v>
      </c>
      <c r="N34" s="241">
        <v>0</v>
      </c>
      <c r="O34" s="809">
        <v>161.87200000000001</v>
      </c>
      <c r="P34" s="242"/>
    </row>
    <row r="35" spans="1:16" ht="45" x14ac:dyDescent="0.2">
      <c r="A35" s="274">
        <v>18</v>
      </c>
      <c r="B35" s="260">
        <v>5</v>
      </c>
      <c r="C35" s="260" t="s">
        <v>509</v>
      </c>
      <c r="D35" s="261" t="s">
        <v>518</v>
      </c>
      <c r="E35" s="275" t="s">
        <v>519</v>
      </c>
      <c r="F35" s="241">
        <v>18.542000000000002</v>
      </c>
      <c r="G35" s="267">
        <v>14.833</v>
      </c>
      <c r="H35" s="267"/>
      <c r="I35" s="268">
        <v>0</v>
      </c>
      <c r="J35" s="276">
        <v>3.7090000000000001</v>
      </c>
      <c r="K35" s="241">
        <v>4.9779999999999998</v>
      </c>
      <c r="L35" s="800">
        <v>3.9809999999999999</v>
      </c>
      <c r="M35" s="277"/>
      <c r="N35" s="277"/>
      <c r="O35" s="276">
        <v>0.997</v>
      </c>
      <c r="P35" s="276"/>
    </row>
    <row r="36" spans="1:16" ht="45" x14ac:dyDescent="0.2">
      <c r="A36" s="237">
        <v>19</v>
      </c>
      <c r="B36" s="238">
        <v>5</v>
      </c>
      <c r="C36" s="238" t="s">
        <v>509</v>
      </c>
      <c r="D36" s="240" t="s">
        <v>453</v>
      </c>
      <c r="E36" s="239" t="s">
        <v>454</v>
      </c>
      <c r="F36" s="241">
        <v>108.25054</v>
      </c>
      <c r="G36" s="242">
        <v>84.99</v>
      </c>
      <c r="H36" s="241"/>
      <c r="I36" s="241"/>
      <c r="J36" s="242">
        <v>23.260539999999999</v>
      </c>
      <c r="K36" s="241">
        <v>34.934780000000003</v>
      </c>
      <c r="L36" s="242">
        <v>29.701370000000001</v>
      </c>
      <c r="M36" s="241"/>
      <c r="N36" s="241">
        <v>3.6320899999999998</v>
      </c>
      <c r="O36" s="810">
        <v>1.6013200000000001</v>
      </c>
      <c r="P36" s="242"/>
    </row>
    <row r="37" spans="1:16" ht="30" x14ac:dyDescent="0.25">
      <c r="A37" s="237">
        <v>20</v>
      </c>
      <c r="B37" s="238">
        <v>5</v>
      </c>
      <c r="C37" s="238" t="s">
        <v>509</v>
      </c>
      <c r="D37" s="278" t="s">
        <v>455</v>
      </c>
      <c r="E37" s="239" t="s">
        <v>456</v>
      </c>
      <c r="F37" s="241">
        <v>51.118839999999999</v>
      </c>
      <c r="G37" s="242">
        <v>42.335000000000001</v>
      </c>
      <c r="H37" s="241"/>
      <c r="I37" s="241"/>
      <c r="J37" s="242">
        <v>8.7838399999999996</v>
      </c>
      <c r="K37" s="241">
        <v>6.45</v>
      </c>
      <c r="L37" s="811">
        <v>5.16</v>
      </c>
      <c r="M37" s="241"/>
      <c r="N37" s="812"/>
      <c r="O37" s="276">
        <v>1.29</v>
      </c>
      <c r="P37" s="813"/>
    </row>
    <row r="38" spans="1:16" ht="30" x14ac:dyDescent="0.2">
      <c r="A38" s="237">
        <v>21</v>
      </c>
      <c r="B38" s="238">
        <v>5</v>
      </c>
      <c r="C38" s="238" t="s">
        <v>509</v>
      </c>
      <c r="D38" s="279" t="s">
        <v>458</v>
      </c>
      <c r="E38" s="239" t="s">
        <v>459</v>
      </c>
      <c r="F38" s="241">
        <v>82.294000000000011</v>
      </c>
      <c r="G38" s="247">
        <v>55.96</v>
      </c>
      <c r="H38" s="248">
        <v>9.875</v>
      </c>
      <c r="I38" s="248"/>
      <c r="J38" s="247">
        <v>16.459</v>
      </c>
      <c r="K38" s="241">
        <v>48.125</v>
      </c>
      <c r="L38" s="242">
        <v>38.777999999999999</v>
      </c>
      <c r="M38" s="241"/>
      <c r="N38" s="812"/>
      <c r="O38" s="811">
        <v>9.3469999999999995</v>
      </c>
      <c r="P38" s="813"/>
    </row>
    <row r="39" spans="1:16" ht="30" x14ac:dyDescent="0.2">
      <c r="A39" s="274">
        <v>22</v>
      </c>
      <c r="B39" s="280">
        <v>5</v>
      </c>
      <c r="C39" s="280" t="s">
        <v>509</v>
      </c>
      <c r="D39" s="281" t="s">
        <v>685</v>
      </c>
      <c r="E39" s="282" t="s">
        <v>686</v>
      </c>
      <c r="F39" s="283">
        <v>66.853359999999995</v>
      </c>
      <c r="G39" s="284">
        <v>51.477080000000001</v>
      </c>
      <c r="H39" s="284"/>
      <c r="I39" s="285"/>
      <c r="J39" s="286">
        <v>15.37628</v>
      </c>
      <c r="K39" s="283">
        <v>48.10736</v>
      </c>
      <c r="L39" s="814">
        <v>25.29345</v>
      </c>
      <c r="M39" s="815">
        <v>4.4635499999999997</v>
      </c>
      <c r="N39" s="815">
        <v>2.9740799999999998</v>
      </c>
      <c r="O39" s="814">
        <v>15.37628</v>
      </c>
      <c r="P39" s="816"/>
    </row>
    <row r="40" spans="1:16" ht="45" x14ac:dyDescent="0.2">
      <c r="A40" s="274">
        <v>23</v>
      </c>
      <c r="B40" s="260">
        <v>5</v>
      </c>
      <c r="C40" s="260" t="s">
        <v>509</v>
      </c>
      <c r="D40" s="261" t="s">
        <v>687</v>
      </c>
      <c r="E40" s="275" t="s">
        <v>688</v>
      </c>
      <c r="F40" s="277">
        <v>66.856999999999999</v>
      </c>
      <c r="G40" s="267">
        <v>52.689</v>
      </c>
      <c r="H40" s="267"/>
      <c r="I40" s="268">
        <v>2.7730000000000001</v>
      </c>
      <c r="J40" s="287">
        <v>11.395</v>
      </c>
      <c r="K40" s="277">
        <v>66.856999999999999</v>
      </c>
      <c r="L40" s="267">
        <v>52.689</v>
      </c>
      <c r="M40" s="267"/>
      <c r="N40" s="268">
        <v>2.7730000000000001</v>
      </c>
      <c r="O40" s="287">
        <v>11.395</v>
      </c>
      <c r="P40" s="276"/>
    </row>
    <row r="41" spans="1:16" ht="60" x14ac:dyDescent="0.2">
      <c r="A41" s="274">
        <v>24</v>
      </c>
      <c r="B41" s="266">
        <v>2</v>
      </c>
      <c r="C41" s="288" t="s">
        <v>520</v>
      </c>
      <c r="D41" s="289" t="s">
        <v>460</v>
      </c>
      <c r="E41" s="288" t="s">
        <v>461</v>
      </c>
      <c r="F41" s="290">
        <v>161.6422</v>
      </c>
      <c r="G41" s="291">
        <v>157.988</v>
      </c>
      <c r="H41" s="291"/>
      <c r="I41" s="292"/>
      <c r="J41" s="293">
        <v>3.6541999999999999</v>
      </c>
      <c r="K41" s="290">
        <v>3.6541999999999999</v>
      </c>
      <c r="L41" s="817">
        <v>0</v>
      </c>
      <c r="M41" s="290"/>
      <c r="N41" s="290"/>
      <c r="O41" s="817">
        <v>0</v>
      </c>
      <c r="P41" s="817">
        <v>3.6541999999999999</v>
      </c>
    </row>
    <row r="42" spans="1:16" ht="105" x14ac:dyDescent="0.2">
      <c r="A42" s="274">
        <v>25</v>
      </c>
      <c r="B42" s="238">
        <v>2</v>
      </c>
      <c r="C42" s="238" t="s">
        <v>521</v>
      </c>
      <c r="D42" s="279" t="s">
        <v>471</v>
      </c>
      <c r="E42" s="239" t="s">
        <v>472</v>
      </c>
      <c r="F42" s="241">
        <v>19.838999999999999</v>
      </c>
      <c r="G42" s="241">
        <v>15.8712</v>
      </c>
      <c r="H42" s="247"/>
      <c r="I42" s="248"/>
      <c r="J42" s="294">
        <v>3.9678</v>
      </c>
      <c r="K42" s="241">
        <v>8.1460000000000008</v>
      </c>
      <c r="L42" s="242">
        <v>4.1782000000000004</v>
      </c>
      <c r="M42" s="241"/>
      <c r="N42" s="241"/>
      <c r="O42" s="242">
        <v>3.9678</v>
      </c>
      <c r="P42" s="242"/>
    </row>
    <row r="43" spans="1:16" ht="89.25" x14ac:dyDescent="0.2">
      <c r="A43" s="274">
        <v>26</v>
      </c>
      <c r="B43" s="260">
        <v>2</v>
      </c>
      <c r="C43" s="238" t="s">
        <v>521</v>
      </c>
      <c r="D43" s="295" t="s">
        <v>522</v>
      </c>
      <c r="E43" s="252" t="s">
        <v>472</v>
      </c>
      <c r="F43" s="241">
        <v>9.2149999999999999</v>
      </c>
      <c r="G43" s="284">
        <v>7.3719999999999999</v>
      </c>
      <c r="H43" s="284"/>
      <c r="I43" s="285"/>
      <c r="J43" s="296">
        <v>1.843</v>
      </c>
      <c r="K43" s="241">
        <v>5.2149999999999999</v>
      </c>
      <c r="L43" s="818">
        <v>3.3719999999999999</v>
      </c>
      <c r="M43" s="803"/>
      <c r="N43" s="803"/>
      <c r="O43" s="818">
        <v>1.843</v>
      </c>
      <c r="P43" s="816"/>
    </row>
    <row r="44" spans="1:16" ht="51" x14ac:dyDescent="0.2">
      <c r="A44" s="297">
        <v>27</v>
      </c>
      <c r="B44" s="280">
        <v>2</v>
      </c>
      <c r="C44" s="250" t="s">
        <v>521</v>
      </c>
      <c r="D44" s="298" t="s">
        <v>689</v>
      </c>
      <c r="E44" s="282" t="s">
        <v>472</v>
      </c>
      <c r="F44" s="283">
        <v>7.0280000000000005</v>
      </c>
      <c r="G44" s="284">
        <v>5.6124000000000001</v>
      </c>
      <c r="H44" s="284"/>
      <c r="I44" s="285"/>
      <c r="J44" s="299">
        <v>1.4156</v>
      </c>
      <c r="K44" s="283">
        <v>2.73</v>
      </c>
      <c r="L44" s="818">
        <v>1.3144</v>
      </c>
      <c r="M44" s="803"/>
      <c r="N44" s="803"/>
      <c r="O44" s="818">
        <v>1.4156</v>
      </c>
      <c r="P44" s="816"/>
    </row>
    <row r="45" spans="1:16" ht="30" x14ac:dyDescent="0.2">
      <c r="A45" s="309">
        <v>28</v>
      </c>
      <c r="B45" s="260">
        <v>5</v>
      </c>
      <c r="C45" s="280" t="s">
        <v>509</v>
      </c>
      <c r="D45" s="310" t="s">
        <v>654</v>
      </c>
      <c r="E45" s="282" t="s">
        <v>655</v>
      </c>
      <c r="F45" s="283">
        <v>14.4</v>
      </c>
      <c r="G45" s="284"/>
      <c r="H45" s="284"/>
      <c r="I45" s="285">
        <v>10</v>
      </c>
      <c r="J45" s="299">
        <v>4.4000000000000004</v>
      </c>
      <c r="K45" s="283">
        <v>14.4</v>
      </c>
      <c r="L45" s="818"/>
      <c r="M45" s="803"/>
      <c r="N45" s="803">
        <v>10</v>
      </c>
      <c r="O45" s="818">
        <v>4.4000000000000004</v>
      </c>
      <c r="P45" s="816"/>
    </row>
    <row r="46" spans="1:16" ht="63.75" x14ac:dyDescent="0.2">
      <c r="A46" s="309">
        <v>29</v>
      </c>
      <c r="B46" s="311">
        <v>5</v>
      </c>
      <c r="C46" s="260" t="s">
        <v>509</v>
      </c>
      <c r="D46" s="232" t="s">
        <v>690</v>
      </c>
      <c r="E46" s="275" t="s">
        <v>512</v>
      </c>
      <c r="F46" s="277">
        <v>8</v>
      </c>
      <c r="G46" s="267">
        <v>7.2</v>
      </c>
      <c r="H46" s="267"/>
      <c r="I46" s="268"/>
      <c r="J46" s="269">
        <v>0.8</v>
      </c>
      <c r="K46" s="277">
        <v>8</v>
      </c>
      <c r="L46" s="267">
        <v>7.2</v>
      </c>
      <c r="M46" s="267"/>
      <c r="N46" s="245"/>
      <c r="O46" s="246">
        <v>0.8</v>
      </c>
      <c r="P46" s="276">
        <v>5.04</v>
      </c>
    </row>
    <row r="47" spans="1:16" ht="76.5" x14ac:dyDescent="0.2">
      <c r="A47" s="309">
        <v>30</v>
      </c>
      <c r="B47" s="311">
        <v>2</v>
      </c>
      <c r="C47" s="260" t="s">
        <v>521</v>
      </c>
      <c r="D47" s="232" t="s">
        <v>665</v>
      </c>
      <c r="E47" s="275" t="s">
        <v>512</v>
      </c>
      <c r="F47" s="283">
        <v>58.097500000000004</v>
      </c>
      <c r="G47" s="267">
        <v>49.416730000000001</v>
      </c>
      <c r="H47" s="267">
        <v>8.6807700000000008</v>
      </c>
      <c r="I47" s="268"/>
      <c r="J47" s="269"/>
      <c r="K47" s="283">
        <v>58.097499999999997</v>
      </c>
      <c r="L47" s="267"/>
      <c r="M47" s="267"/>
      <c r="N47" s="245"/>
      <c r="O47" s="246">
        <v>58.097499999999997</v>
      </c>
      <c r="P47" s="819"/>
    </row>
    <row r="48" spans="1:16" ht="14.25" x14ac:dyDescent="0.2">
      <c r="A48" s="300"/>
      <c r="B48" s="300"/>
      <c r="C48" s="301"/>
      <c r="D48" s="302" t="s">
        <v>462</v>
      </c>
      <c r="E48" s="302"/>
      <c r="F48" s="303">
        <f>SUM(F18:F47)</f>
        <v>17676.052580020001</v>
      </c>
      <c r="G48" s="303">
        <f t="shared" ref="G48:P48" si="0">SUM(G18:G47)</f>
        <v>4608.8407815999999</v>
      </c>
      <c r="H48" s="303">
        <f t="shared" si="0"/>
        <v>7494.1983232199991</v>
      </c>
      <c r="I48" s="303">
        <f t="shared" si="0"/>
        <v>685.19081000000006</v>
      </c>
      <c r="J48" s="303">
        <f t="shared" si="0"/>
        <v>4887.8226652000012</v>
      </c>
      <c r="K48" s="303">
        <f t="shared" si="0"/>
        <v>6929.0702409999985</v>
      </c>
      <c r="L48" s="303">
        <f t="shared" si="0"/>
        <v>2725.8954399999993</v>
      </c>
      <c r="M48" s="303">
        <f t="shared" si="0"/>
        <v>1827.4805599999997</v>
      </c>
      <c r="N48" s="303">
        <f t="shared" si="0"/>
        <v>623.01220999999998</v>
      </c>
      <c r="O48" s="303">
        <f t="shared" si="0"/>
        <v>1156.892891</v>
      </c>
      <c r="P48" s="303">
        <f t="shared" si="0"/>
        <v>580.85915999999997</v>
      </c>
    </row>
  </sheetData>
  <mergeCells count="13">
    <mergeCell ref="A8:M12"/>
    <mergeCell ref="A15:A17"/>
    <mergeCell ref="B15:B17"/>
    <mergeCell ref="C15:C17"/>
    <mergeCell ref="D15:D17"/>
    <mergeCell ref="E15:E17"/>
    <mergeCell ref="F15:F17"/>
    <mergeCell ref="K15:P15"/>
    <mergeCell ref="G16:G17"/>
    <mergeCell ref="H16:H17"/>
    <mergeCell ref="I16:I17"/>
    <mergeCell ref="J16:J17"/>
    <mergeCell ref="K16:P16"/>
  </mergeCells>
  <phoneticPr fontId="9" type="noConversion"/>
  <pageMargins left="0.23622047244094491" right="0.23622047244094491" top="0.74803149606299213" bottom="0.35433070866141736" header="0.31496062992125984" footer="0.31496062992125984"/>
  <pageSetup paperSize="9"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7</vt:i4>
      </vt:variant>
      <vt:variant>
        <vt:lpstr>Įvardytieji diapazonai</vt:lpstr>
      </vt:variant>
      <vt:variant>
        <vt:i4>5</vt:i4>
      </vt:variant>
    </vt:vector>
  </HeadingPairs>
  <TitlesOfParts>
    <vt:vector size="12" baseType="lpstr">
      <vt:lpstr>1 priedas</vt:lpstr>
      <vt:lpstr>2 priedas</vt:lpstr>
      <vt:lpstr>5-išl.pagal programas </vt:lpstr>
      <vt:lpstr>4 priedas</vt:lpstr>
      <vt:lpstr>5 priedas</vt:lpstr>
      <vt:lpstr>6 priedas</vt:lpstr>
      <vt:lpstr>8 priedas</vt:lpstr>
      <vt:lpstr>'1 priedas'!Print_Titles</vt:lpstr>
      <vt:lpstr>'2 priedas'!Print_Titles</vt:lpstr>
      <vt:lpstr>'4 priedas'!Print_Titles</vt:lpstr>
      <vt:lpstr>'5 priedas'!Print_Titles</vt:lpstr>
      <vt:lpstr>'6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Rasa Virbalienė</cp:lastModifiedBy>
  <cp:lastPrinted>2023-07-28T09:21:12Z</cp:lastPrinted>
  <dcterms:created xsi:type="dcterms:W3CDTF">2013-02-05T08:01:03Z</dcterms:created>
  <dcterms:modified xsi:type="dcterms:W3CDTF">2023-07-28T09:21:56Z</dcterms:modified>
</cp:coreProperties>
</file>