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showInkAnnotation="0" defaultThemeVersion="124226"/>
  <mc:AlternateContent xmlns:mc="http://schemas.openxmlformats.org/markup-compatibility/2006">
    <mc:Choice Requires="x15">
      <x15ac:absPath xmlns:x15ac="http://schemas.microsoft.com/office/spreadsheetml/2010/11/ac" url="C:\Users\rvirbaliene\Desktop\TARYBA 2023\Taryba 2023-12-21\2023-12-21 TS-330-TS-349\"/>
    </mc:Choice>
  </mc:AlternateContent>
  <xr:revisionPtr revIDLastSave="0" documentId="8_{3D187794-D017-4859-A580-A291C08FD2E1}" xr6:coauthVersionLast="47" xr6:coauthVersionMax="47" xr10:uidLastSave="{00000000-0000-0000-0000-000000000000}"/>
  <bookViews>
    <workbookView xWindow="-108" yWindow="-108" windowWidth="23256" windowHeight="12576" xr2:uid="{00000000-000D-0000-FFFF-FFFF00000000}"/>
  </bookViews>
  <sheets>
    <sheet name="1 priedas" sheetId="22" r:id="rId1"/>
    <sheet name="2 priedas" sheetId="2" r:id="rId2"/>
    <sheet name="3 priedas" sheetId="21" r:id="rId3"/>
    <sheet name="5-išl.pagal programas " sheetId="15" state="hidden" r:id="rId4"/>
    <sheet name="4 priedas" sheetId="14" r:id="rId5"/>
    <sheet name="5 priedas" sheetId="20" r:id="rId6"/>
    <sheet name="6 priedas " sheetId="27" r:id="rId7"/>
    <sheet name="7 priedas" sheetId="25" r:id="rId8"/>
    <sheet name="8 priedas" sheetId="24" r:id="rId9"/>
    <sheet name="9 priedas" sheetId="23" r:id="rId10"/>
  </sheets>
  <definedNames>
    <definedName name="_xlnm.Print_Titles" localSheetId="0">'1 priedas'!$14:$14</definedName>
    <definedName name="_xlnm.Print_Titles" localSheetId="1">'2 priedas'!$10:$10</definedName>
    <definedName name="_xlnm.Print_Titles" localSheetId="2">'3 priedas'!$14:$16</definedName>
    <definedName name="_xlnm.Print_Titles" localSheetId="4">'4 priedas'!$15:$16</definedName>
    <definedName name="_xlnm.Print_Titles" localSheetId="5">'5 priedas'!$14:$15</definedName>
    <definedName name="_xlnm.Print_Titles" localSheetId="3">'5-išl.pagal programas '!#REF!</definedName>
    <definedName name="_xlnm.Print_Titles" localSheetId="6">'6 priedas '!$11:$12</definedName>
    <definedName name="_xlnm.Print_Titles" localSheetId="7">'7 priedas'!$15:$17</definedName>
    <definedName name="_xlnm.Print_Titles" localSheetId="8">'8 priedas'!$19:$21</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2" l="1"/>
  <c r="E201" i="20" l="1"/>
  <c r="E199" i="20"/>
  <c r="G69" i="14"/>
  <c r="G67" i="14"/>
  <c r="F61" i="27"/>
  <c r="E61" i="27"/>
  <c r="E206" i="20"/>
  <c r="E204" i="20"/>
  <c r="H47" i="20"/>
  <c r="G47" i="20"/>
  <c r="M25" i="20"/>
  <c r="M19" i="20"/>
  <c r="O27" i="14"/>
  <c r="I158" i="14"/>
  <c r="J138" i="14"/>
  <c r="I138" i="14"/>
  <c r="G74" i="14"/>
  <c r="G72" i="14"/>
  <c r="D31" i="22"/>
  <c r="D29" i="22"/>
  <c r="D28" i="22"/>
  <c r="C16" i="2"/>
  <c r="G200" i="20"/>
  <c r="E124" i="27"/>
  <c r="I68" i="14"/>
  <c r="C80" i="2"/>
  <c r="D79" i="22"/>
  <c r="G153" i="14"/>
  <c r="E219" i="20"/>
  <c r="N143" i="14"/>
  <c r="L178" i="20"/>
  <c r="F178" i="20"/>
  <c r="H143" i="14"/>
  <c r="G104" i="20"/>
  <c r="E75" i="27"/>
  <c r="E76" i="27"/>
  <c r="I104" i="20"/>
  <c r="E179" i="20"/>
  <c r="E171" i="20"/>
  <c r="E169" i="20"/>
  <c r="E164" i="20"/>
  <c r="E162" i="20"/>
  <c r="E160" i="20"/>
  <c r="G156" i="20"/>
  <c r="E155" i="20"/>
  <c r="E154" i="20"/>
  <c r="E152" i="20"/>
  <c r="F149" i="20"/>
  <c r="K104" i="20"/>
  <c r="J104" i="20"/>
  <c r="F104" i="20"/>
  <c r="H20" i="20"/>
  <c r="G20" i="20"/>
  <c r="D74" i="22"/>
  <c r="D18" i="22"/>
  <c r="I34" i="14" l="1"/>
  <c r="I30" i="14"/>
  <c r="G32" i="14"/>
  <c r="G50" i="14"/>
  <c r="M189" i="14" l="1"/>
  <c r="L189" i="14"/>
  <c r="H189" i="14"/>
  <c r="G146" i="14"/>
  <c r="G48" i="14"/>
  <c r="G43" i="14"/>
  <c r="G41" i="14"/>
  <c r="I39" i="14"/>
  <c r="G39" i="14"/>
  <c r="G33" i="14"/>
  <c r="G30" i="14"/>
  <c r="C60" i="2"/>
  <c r="D41" i="22"/>
  <c r="D62" i="21" l="1"/>
  <c r="F18" i="14" l="1"/>
  <c r="F19" i="14"/>
  <c r="F20" i="14"/>
  <c r="F21" i="14"/>
  <c r="F22" i="14"/>
  <c r="F23" i="14"/>
  <c r="F24" i="14"/>
  <c r="F25" i="14"/>
  <c r="F26" i="14"/>
  <c r="F27" i="14"/>
  <c r="F28" i="14"/>
  <c r="F29" i="14"/>
  <c r="F34" i="14"/>
  <c r="F101" i="14"/>
  <c r="F105" i="14"/>
  <c r="F107" i="14"/>
  <c r="F111" i="14"/>
  <c r="F138" i="14"/>
  <c r="F139" i="14"/>
  <c r="F140" i="14"/>
  <c r="F141" i="14"/>
  <c r="F142" i="14"/>
  <c r="F143" i="14"/>
  <c r="F144" i="14"/>
  <c r="F145" i="14"/>
  <c r="F146" i="14"/>
  <c r="F147" i="14"/>
  <c r="F159" i="14"/>
  <c r="F160" i="14"/>
  <c r="F161" i="14"/>
  <c r="F162" i="14"/>
  <c r="F163" i="14"/>
  <c r="F164" i="14"/>
  <c r="F165" i="14"/>
  <c r="F166" i="14"/>
  <c r="F167" i="14"/>
  <c r="F168" i="14"/>
  <c r="F169" i="14"/>
  <c r="F170" i="14"/>
  <c r="F171" i="14"/>
  <c r="F172" i="14"/>
  <c r="F173" i="14"/>
  <c r="F174" i="14"/>
  <c r="F175" i="14"/>
  <c r="F176" i="14"/>
  <c r="F177" i="14"/>
  <c r="F178" i="14"/>
  <c r="F179" i="14"/>
  <c r="F180" i="14"/>
  <c r="F181" i="14"/>
  <c r="F182" i="14"/>
  <c r="F183" i="14"/>
  <c r="F184" i="14"/>
  <c r="F185" i="14"/>
  <c r="F186" i="14"/>
  <c r="F187" i="14"/>
  <c r="F188" i="14"/>
  <c r="F189" i="14"/>
  <c r="E18" i="14"/>
  <c r="E20" i="14"/>
  <c r="E21" i="14"/>
  <c r="E22" i="14"/>
  <c r="E23" i="14"/>
  <c r="E24" i="14"/>
  <c r="E25" i="14"/>
  <c r="E26" i="14"/>
  <c r="E27" i="14"/>
  <c r="E28"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7" i="14"/>
  <c r="E68" i="14"/>
  <c r="E69" i="14"/>
  <c r="E70" i="14"/>
  <c r="E71" i="14"/>
  <c r="E72" i="14"/>
  <c r="E73" i="14"/>
  <c r="E74" i="14"/>
  <c r="E75" i="14"/>
  <c r="E76" i="14"/>
  <c r="E77" i="14"/>
  <c r="E78" i="14"/>
  <c r="E79" i="14"/>
  <c r="E80" i="14"/>
  <c r="E81" i="14"/>
  <c r="E82" i="14"/>
  <c r="E83" i="14"/>
  <c r="E84" i="14"/>
  <c r="E85" i="14"/>
  <c r="E86" i="14"/>
  <c r="E87" i="14"/>
  <c r="E88" i="14"/>
  <c r="E89" i="14"/>
  <c r="E90" i="14"/>
  <c r="E91" i="14"/>
  <c r="E92" i="14"/>
  <c r="E93" i="14"/>
  <c r="E94" i="14"/>
  <c r="E95" i="14"/>
  <c r="E96" i="14"/>
  <c r="E97" i="14"/>
  <c r="E98" i="14"/>
  <c r="E99" i="14"/>
  <c r="E100" i="14"/>
  <c r="E101" i="14"/>
  <c r="E102" i="14"/>
  <c r="E103" i="14"/>
  <c r="E104" i="14"/>
  <c r="E105" i="14"/>
  <c r="E106" i="14"/>
  <c r="E107" i="14"/>
  <c r="E108" i="14"/>
  <c r="E109" i="14"/>
  <c r="E110" i="14"/>
  <c r="E111" i="14"/>
  <c r="E112" i="14"/>
  <c r="E113" i="14"/>
  <c r="E114" i="14"/>
  <c r="E115" i="14"/>
  <c r="E116" i="14"/>
  <c r="E117" i="14"/>
  <c r="E118" i="14"/>
  <c r="E119" i="14"/>
  <c r="E120" i="14"/>
  <c r="E121" i="14"/>
  <c r="E122" i="14"/>
  <c r="E123" i="14"/>
  <c r="E124" i="14"/>
  <c r="E125" i="14"/>
  <c r="E126" i="14"/>
  <c r="E127" i="14"/>
  <c r="E128" i="14"/>
  <c r="E129" i="14"/>
  <c r="E130" i="14"/>
  <c r="E131" i="14"/>
  <c r="E132" i="14"/>
  <c r="E133" i="14"/>
  <c r="E134" i="14"/>
  <c r="E135" i="14"/>
  <c r="E136" i="14"/>
  <c r="E137" i="14"/>
  <c r="E138" i="14"/>
  <c r="E139" i="14"/>
  <c r="E140" i="14"/>
  <c r="E141" i="14"/>
  <c r="E142" i="14"/>
  <c r="E143" i="14"/>
  <c r="E144" i="14"/>
  <c r="E145" i="14"/>
  <c r="E146" i="14"/>
  <c r="E147" i="14"/>
  <c r="E148" i="14"/>
  <c r="E149" i="14"/>
  <c r="E150" i="14"/>
  <c r="E151" i="14"/>
  <c r="E152" i="14"/>
  <c r="E153" i="14"/>
  <c r="E154" i="14"/>
  <c r="E155" i="14"/>
  <c r="E156" i="14"/>
  <c r="E157" i="14"/>
  <c r="E159" i="14"/>
  <c r="E160" i="14"/>
  <c r="E161" i="14"/>
  <c r="E162" i="14"/>
  <c r="E163" i="14"/>
  <c r="E164" i="14"/>
  <c r="E165" i="14"/>
  <c r="E166" i="14"/>
  <c r="E167" i="14"/>
  <c r="E168" i="14"/>
  <c r="E169" i="14"/>
  <c r="E170" i="14"/>
  <c r="E171" i="14"/>
  <c r="E172" i="14"/>
  <c r="E173" i="14"/>
  <c r="E174" i="14"/>
  <c r="E175" i="14"/>
  <c r="E176" i="14"/>
  <c r="E177" i="14"/>
  <c r="E178" i="14"/>
  <c r="E179" i="14"/>
  <c r="E180" i="14"/>
  <c r="E181" i="14"/>
  <c r="E182" i="14"/>
  <c r="E183" i="14"/>
  <c r="E184" i="14"/>
  <c r="E185" i="14"/>
  <c r="E186" i="14"/>
  <c r="E187" i="14"/>
  <c r="E188" i="14"/>
  <c r="E189" i="14"/>
  <c r="F17" i="14"/>
  <c r="E17" i="14"/>
  <c r="F26" i="20"/>
  <c r="H28" i="14"/>
  <c r="E90" i="27" l="1"/>
  <c r="E33" i="27"/>
  <c r="G159" i="20"/>
  <c r="A159" i="20"/>
  <c r="I38" i="14"/>
  <c r="D46" i="22"/>
  <c r="C22" i="2"/>
  <c r="C66" i="2"/>
  <c r="E91" i="27"/>
  <c r="I52" i="14"/>
  <c r="I20" i="14"/>
  <c r="G173" i="20"/>
  <c r="D86" i="22"/>
  <c r="D82" i="22"/>
  <c r="D80" i="22"/>
  <c r="D78" i="22"/>
  <c r="D77" i="22"/>
  <c r="D76" i="22"/>
  <c r="D75" i="22"/>
  <c r="D71" i="22"/>
  <c r="D69" i="22"/>
  <c r="D68" i="22" s="1"/>
  <c r="D58" i="22"/>
  <c r="D57" i="22" s="1"/>
  <c r="D55" i="22"/>
  <c r="D53" i="22"/>
  <c r="D50" i="22"/>
  <c r="A49" i="22"/>
  <c r="D47" i="22"/>
  <c r="D36" i="22"/>
  <c r="D30" i="22"/>
  <c r="D27" i="22"/>
  <c r="D26" i="22"/>
  <c r="D24" i="22"/>
  <c r="D23" i="22"/>
  <c r="D22" i="22"/>
  <c r="D20" i="22"/>
  <c r="D17" i="22"/>
  <c r="D16" i="22"/>
  <c r="D81" i="22" s="1"/>
  <c r="D87" i="22" s="1"/>
  <c r="A14" i="27" l="1"/>
  <c r="A15" i="27"/>
  <c r="A16" i="27"/>
  <c r="A17" i="27"/>
  <c r="A18" i="27"/>
  <c r="A19" i="27"/>
  <c r="A20" i="27"/>
  <c r="E20" i="27"/>
  <c r="F20" i="27"/>
  <c r="A21" i="27"/>
  <c r="E21" i="27"/>
  <c r="A22" i="27"/>
  <c r="E22" i="27"/>
  <c r="F22" i="27"/>
  <c r="A23" i="27"/>
  <c r="A24" i="27"/>
  <c r="A25" i="27"/>
  <c r="A26" i="27"/>
  <c r="A27" i="27"/>
  <c r="A28" i="27"/>
  <c r="F28" i="27"/>
  <c r="A29" i="27"/>
  <c r="E29" i="27"/>
  <c r="E28" i="27" s="1"/>
  <c r="A30" i="27"/>
  <c r="A31" i="27"/>
  <c r="A32" i="27"/>
  <c r="E32" i="27"/>
  <c r="F32" i="27"/>
  <c r="A33" i="27"/>
  <c r="A34" i="27"/>
  <c r="A35" i="27"/>
  <c r="A36" i="27"/>
  <c r="A37" i="27"/>
  <c r="E37" i="27"/>
  <c r="F37" i="27"/>
  <c r="F36" i="27" s="1"/>
  <c r="A38" i="27"/>
  <c r="A39" i="27"/>
  <c r="E39" i="27"/>
  <c r="A40" i="27"/>
  <c r="E40" i="27"/>
  <c r="A41" i="27"/>
  <c r="E41" i="27"/>
  <c r="A42" i="27"/>
  <c r="E42" i="27"/>
  <c r="A43" i="27"/>
  <c r="E43" i="27"/>
  <c r="A44" i="27"/>
  <c r="E44" i="27"/>
  <c r="A45" i="27"/>
  <c r="E45" i="27"/>
  <c r="A46" i="27"/>
  <c r="E46" i="27"/>
  <c r="A47" i="27"/>
  <c r="E47" i="27"/>
  <c r="A48" i="27"/>
  <c r="E48" i="27"/>
  <c r="A49" i="27"/>
  <c r="A50" i="27"/>
  <c r="A51" i="27"/>
  <c r="E51" i="27"/>
  <c r="F51" i="27"/>
  <c r="A52" i="27"/>
  <c r="A53" i="27"/>
  <c r="A54" i="27"/>
  <c r="A55" i="27"/>
  <c r="A56" i="27"/>
  <c r="A57" i="27"/>
  <c r="A58" i="27"/>
  <c r="A59" i="27"/>
  <c r="F62" i="27"/>
  <c r="F63" i="27"/>
  <c r="F64" i="27"/>
  <c r="E66" i="27"/>
  <c r="F68" i="27"/>
  <c r="F66" i="27" s="1"/>
  <c r="F73" i="27"/>
  <c r="E77" i="27"/>
  <c r="F77" i="27"/>
  <c r="F75" i="27" s="1"/>
  <c r="E78" i="27"/>
  <c r="F80" i="27"/>
  <c r="F78" i="27" s="1"/>
  <c r="A81" i="27"/>
  <c r="E84" i="27"/>
  <c r="E86" i="27"/>
  <c r="F86" i="27"/>
  <c r="E89" i="27"/>
  <c r="F92" i="27"/>
  <c r="A105" i="27"/>
  <c r="A106" i="27"/>
  <c r="E106" i="27"/>
  <c r="A107" i="27"/>
  <c r="A108" i="27"/>
  <c r="F108" i="27"/>
  <c r="A109" i="27"/>
  <c r="A110" i="27"/>
  <c r="A111" i="27"/>
  <c r="E113" i="27"/>
  <c r="E115" i="27"/>
  <c r="E116" i="27"/>
  <c r="E117" i="27"/>
  <c r="E119" i="27"/>
  <c r="F124" i="27"/>
  <c r="F125" i="27"/>
  <c r="E114" i="27" l="1"/>
  <c r="E38" i="27"/>
  <c r="E36" i="27"/>
  <c r="E64" i="27" s="1"/>
  <c r="E125" i="27" s="1"/>
  <c r="F23" i="21" l="1"/>
  <c r="C85" i="2"/>
  <c r="C84" i="2"/>
  <c r="C81" i="2"/>
  <c r="C76" i="2"/>
  <c r="C72" i="2"/>
  <c r="C70" i="2"/>
  <c r="C69" i="2"/>
  <c r="C68" i="2"/>
  <c r="C58" i="2"/>
  <c r="C56" i="2"/>
  <c r="C55" i="2"/>
  <c r="C46" i="2"/>
  <c r="C42" i="2"/>
  <c r="C40" i="2"/>
  <c r="C38" i="2"/>
  <c r="C36" i="2"/>
  <c r="C33" i="2"/>
  <c r="C30" i="2"/>
  <c r="C27" i="2"/>
  <c r="C23" i="2"/>
  <c r="C21" i="2"/>
  <c r="C20" i="2"/>
  <c r="C19" i="2"/>
  <c r="C15" i="2"/>
  <c r="C11" i="2"/>
  <c r="C44" i="2" s="1"/>
  <c r="C86" i="2" s="1"/>
  <c r="C62" i="21"/>
  <c r="C61" i="21"/>
  <c r="C60" i="21"/>
  <c r="C59" i="21"/>
  <c r="C58" i="21"/>
  <c r="C57" i="21"/>
  <c r="C56" i="21"/>
  <c r="C55" i="21"/>
  <c r="C54" i="21"/>
  <c r="C53" i="21"/>
  <c r="D52" i="21"/>
  <c r="C52" i="21"/>
  <c r="C51" i="21"/>
  <c r="C50" i="21"/>
  <c r="C49" i="21"/>
  <c r="C48" i="21"/>
  <c r="C47" i="21"/>
  <c r="C46" i="21"/>
  <c r="C45" i="21"/>
  <c r="F44" i="21"/>
  <c r="C44" i="21"/>
  <c r="C43" i="21"/>
  <c r="C42" i="21"/>
  <c r="F41" i="21"/>
  <c r="C41" i="21"/>
  <c r="C40" i="21"/>
  <c r="C39" i="21"/>
  <c r="C38" i="21"/>
  <c r="D37" i="21"/>
  <c r="C37" i="21"/>
  <c r="C36" i="21"/>
  <c r="C35" i="21"/>
  <c r="C34" i="21"/>
  <c r="C33" i="21"/>
  <c r="C32" i="21"/>
  <c r="C31" i="21"/>
  <c r="C30" i="21"/>
  <c r="C29" i="21"/>
  <c r="C28" i="21"/>
  <c r="C27" i="21"/>
  <c r="C26" i="21"/>
  <c r="C25" i="21"/>
  <c r="C24" i="21"/>
  <c r="F63" i="21"/>
  <c r="C23" i="21"/>
  <c r="D22" i="21"/>
  <c r="D63" i="21" s="1"/>
  <c r="C22" i="21"/>
  <c r="C21" i="21"/>
  <c r="C20" i="21"/>
  <c r="C19" i="21"/>
  <c r="C18" i="21"/>
  <c r="E17" i="21"/>
  <c r="E63" i="21" s="1"/>
  <c r="C17" i="21"/>
  <c r="C63" i="21" s="1"/>
  <c r="F82" i="20" l="1"/>
  <c r="D79" i="20"/>
  <c r="D85" i="20"/>
  <c r="D25" i="20"/>
  <c r="D179" i="20"/>
  <c r="D178" i="20"/>
  <c r="D196" i="20"/>
  <c r="J144" i="14"/>
  <c r="P190" i="14"/>
  <c r="J111" i="14"/>
  <c r="H158" i="14"/>
  <c r="P191" i="14"/>
  <c r="M143" i="14"/>
  <c r="K178" i="20"/>
  <c r="G28" i="14"/>
  <c r="N19" i="20"/>
  <c r="N16" i="20"/>
  <c r="M58" i="20"/>
  <c r="M243" i="20" s="1"/>
  <c r="N58" i="20"/>
  <c r="M150" i="20"/>
  <c r="N150" i="20"/>
  <c r="N243" i="20"/>
  <c r="C18" i="20"/>
  <c r="C20" i="20"/>
  <c r="C21" i="20"/>
  <c r="C22" i="20"/>
  <c r="C23" i="20"/>
  <c r="C24" i="20"/>
  <c r="C25" i="20"/>
  <c r="C26" i="20"/>
  <c r="C27" i="20"/>
  <c r="C28" i="20"/>
  <c r="C29" i="20"/>
  <c r="C30" i="20"/>
  <c r="C31" i="20"/>
  <c r="C32" i="20"/>
  <c r="C33" i="20"/>
  <c r="C34" i="20"/>
  <c r="C35" i="20"/>
  <c r="C36" i="20"/>
  <c r="C37" i="20"/>
  <c r="C38" i="20"/>
  <c r="C39" i="20"/>
  <c r="C40" i="20"/>
  <c r="C41" i="20"/>
  <c r="C42" i="20"/>
  <c r="C43" i="20"/>
  <c r="C44" i="20"/>
  <c r="C45" i="20"/>
  <c r="C46" i="20"/>
  <c r="C47" i="20"/>
  <c r="C48" i="20"/>
  <c r="C49" i="20"/>
  <c r="C50" i="20"/>
  <c r="C51" i="20"/>
  <c r="C52" i="20"/>
  <c r="C53" i="20"/>
  <c r="C54" i="20"/>
  <c r="C55" i="20"/>
  <c r="C56" i="20"/>
  <c r="C57" i="20"/>
  <c r="C59" i="20"/>
  <c r="C60" i="20"/>
  <c r="C61" i="20"/>
  <c r="C62" i="20"/>
  <c r="C63" i="20"/>
  <c r="C64" i="20"/>
  <c r="C65" i="20"/>
  <c r="C66" i="20"/>
  <c r="C67" i="20"/>
  <c r="C68" i="20"/>
  <c r="C69" i="20"/>
  <c r="C70" i="20"/>
  <c r="C71" i="20"/>
  <c r="C72" i="20"/>
  <c r="C73" i="20"/>
  <c r="C74" i="20"/>
  <c r="C75" i="20"/>
  <c r="C76" i="20"/>
  <c r="C77" i="20"/>
  <c r="C78" i="20"/>
  <c r="C79" i="20"/>
  <c r="C80" i="20"/>
  <c r="C81" i="20"/>
  <c r="C82" i="20"/>
  <c r="C83" i="20"/>
  <c r="C84" i="20"/>
  <c r="C85" i="20"/>
  <c r="C86" i="20"/>
  <c r="C87" i="20"/>
  <c r="C88" i="20"/>
  <c r="C89" i="20"/>
  <c r="C90" i="20"/>
  <c r="C91" i="20"/>
  <c r="C92" i="20"/>
  <c r="C93" i="20"/>
  <c r="C94" i="20"/>
  <c r="C95" i="20"/>
  <c r="C96" i="20"/>
  <c r="C97" i="20"/>
  <c r="C98" i="20"/>
  <c r="C99" i="20"/>
  <c r="C100" i="20"/>
  <c r="C101" i="20"/>
  <c r="C102" i="20"/>
  <c r="C103" i="20"/>
  <c r="C104" i="20"/>
  <c r="C105" i="20"/>
  <c r="C106" i="20"/>
  <c r="C107" i="20"/>
  <c r="C108" i="20"/>
  <c r="C109" i="20"/>
  <c r="C110" i="20"/>
  <c r="C111"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2" i="20"/>
  <c r="C153" i="20"/>
  <c r="C154" i="20"/>
  <c r="C155" i="20"/>
  <c r="C156" i="20"/>
  <c r="C157" i="20"/>
  <c r="C158" i="20"/>
  <c r="C159" i="20"/>
  <c r="C160" i="20"/>
  <c r="C161" i="20"/>
  <c r="C162" i="20"/>
  <c r="C163" i="20"/>
  <c r="C164" i="20"/>
  <c r="C165" i="20"/>
  <c r="C166" i="20"/>
  <c r="C167" i="20"/>
  <c r="C168" i="20"/>
  <c r="C169" i="20"/>
  <c r="C170" i="20"/>
  <c r="C171" i="20"/>
  <c r="C172" i="20"/>
  <c r="C173" i="20"/>
  <c r="C174" i="20"/>
  <c r="C175" i="20"/>
  <c r="C176" i="20"/>
  <c r="C177" i="20"/>
  <c r="C178" i="20"/>
  <c r="C179" i="20"/>
  <c r="C180" i="20"/>
  <c r="C181" i="20"/>
  <c r="C182" i="20"/>
  <c r="C183" i="20"/>
  <c r="C184" i="20"/>
  <c r="C185" i="20"/>
  <c r="C186" i="20"/>
  <c r="C187" i="20"/>
  <c r="C188" i="20"/>
  <c r="C189" i="20"/>
  <c r="C190" i="20"/>
  <c r="C191" i="20"/>
  <c r="C192" i="20"/>
  <c r="C193" i="20"/>
  <c r="C194" i="20"/>
  <c r="C195" i="20"/>
  <c r="C196" i="20"/>
  <c r="C199" i="20"/>
  <c r="C200" i="20"/>
  <c r="C201" i="20"/>
  <c r="C202" i="20"/>
  <c r="C203" i="20"/>
  <c r="C204" i="20"/>
  <c r="C205" i="20"/>
  <c r="C206" i="20"/>
  <c r="C207" i="20"/>
  <c r="C208" i="20"/>
  <c r="C209" i="20"/>
  <c r="C210" i="20"/>
  <c r="C211" i="20"/>
  <c r="C212" i="20"/>
  <c r="C213" i="20"/>
  <c r="C214" i="20"/>
  <c r="C215" i="20"/>
  <c r="C216" i="20"/>
  <c r="C217" i="20"/>
  <c r="C218" i="20"/>
  <c r="C219" i="20"/>
  <c r="C220" i="20"/>
  <c r="C221" i="20"/>
  <c r="C222" i="20"/>
  <c r="C223" i="20"/>
  <c r="C224" i="20"/>
  <c r="C225" i="20"/>
  <c r="C226" i="20"/>
  <c r="C227" i="20"/>
  <c r="C228" i="20"/>
  <c r="C229" i="20"/>
  <c r="C230" i="20"/>
  <c r="C231" i="20"/>
  <c r="C232" i="20"/>
  <c r="C233" i="20"/>
  <c r="C234" i="20"/>
  <c r="C235" i="20"/>
  <c r="C236" i="20"/>
  <c r="C237" i="20"/>
  <c r="C238" i="20"/>
  <c r="C239" i="20"/>
  <c r="C240" i="20"/>
  <c r="C241" i="20"/>
  <c r="C242" i="20"/>
  <c r="C17" i="20"/>
  <c r="J84" i="20"/>
  <c r="J83" i="20"/>
  <c r="J82" i="20"/>
  <c r="F79" i="20"/>
  <c r="E79" i="20"/>
  <c r="E65" i="20"/>
  <c r="G114" i="14"/>
  <c r="E26" i="20"/>
  <c r="H164" i="14" l="1"/>
  <c r="E67" i="20"/>
  <c r="G116" i="14"/>
  <c r="I189" i="14"/>
  <c r="I149" i="14"/>
  <c r="I146" i="14"/>
  <c r="G189" i="14" l="1"/>
  <c r="G59" i="14"/>
  <c r="G164" i="14"/>
  <c r="H18" i="14"/>
  <c r="H19" i="14"/>
  <c r="E242" i="20"/>
  <c r="E235" i="20"/>
  <c r="E222" i="20"/>
  <c r="E220" i="20"/>
  <c r="E215" i="20"/>
  <c r="E214" i="20"/>
  <c r="G236" i="20"/>
  <c r="E210" i="20"/>
  <c r="G202" i="20"/>
  <c r="E200" i="20"/>
  <c r="K196" i="20"/>
  <c r="H196" i="20"/>
  <c r="E193" i="20"/>
  <c r="G189" i="20"/>
  <c r="G188" i="20"/>
  <c r="G187" i="20"/>
  <c r="G186" i="20"/>
  <c r="G185" i="20"/>
  <c r="G184" i="20"/>
  <c r="G183" i="20"/>
  <c r="G181" i="20"/>
  <c r="G180" i="20"/>
  <c r="G179" i="20"/>
  <c r="G177" i="20"/>
  <c r="G157" i="20"/>
  <c r="G152" i="20"/>
  <c r="E149" i="20"/>
  <c r="E147" i="20"/>
  <c r="E146" i="20"/>
  <c r="E145" i="20"/>
  <c r="E144" i="20"/>
  <c r="E141" i="20"/>
  <c r="E124" i="20"/>
  <c r="E121" i="20"/>
  <c r="E119" i="20"/>
  <c r="E108" i="20"/>
  <c r="E104" i="20"/>
  <c r="F91" i="20"/>
  <c r="F90" i="20"/>
  <c r="E90" i="20"/>
  <c r="J88" i="20"/>
  <c r="F88" i="20"/>
  <c r="E88" i="20"/>
  <c r="E89" i="20"/>
  <c r="D89" i="20"/>
  <c r="L87" i="20"/>
  <c r="K87" i="20"/>
  <c r="K86" i="20"/>
  <c r="J86" i="20"/>
  <c r="F86" i="20"/>
  <c r="E82" i="20"/>
  <c r="E80" i="20"/>
  <c r="E75" i="20"/>
  <c r="E74" i="20"/>
  <c r="E64" i="20"/>
  <c r="H61" i="20"/>
  <c r="E54" i="20"/>
  <c r="E51" i="20"/>
  <c r="E48" i="20"/>
  <c r="E47" i="20"/>
  <c r="E36" i="20"/>
  <c r="E35" i="20"/>
  <c r="E34" i="20"/>
  <c r="K32" i="20"/>
  <c r="E30" i="20"/>
  <c r="E23" i="20"/>
  <c r="E21" i="20"/>
  <c r="E20" i="20"/>
  <c r="E18" i="20"/>
  <c r="O190" i="14"/>
  <c r="H176" i="14"/>
  <c r="H175" i="14"/>
  <c r="G175" i="14"/>
  <c r="L173" i="14"/>
  <c r="H173" i="14"/>
  <c r="G173" i="14"/>
  <c r="N172" i="14"/>
  <c r="M172" i="14"/>
  <c r="M171" i="14"/>
  <c r="L171" i="14"/>
  <c r="H171" i="14"/>
  <c r="L169" i="14"/>
  <c r="L168" i="14"/>
  <c r="L167" i="14"/>
  <c r="H167" i="14"/>
  <c r="G167" i="14"/>
  <c r="G165" i="14"/>
  <c r="G160" i="14"/>
  <c r="G159" i="14"/>
  <c r="I157" i="14"/>
  <c r="I152" i="14"/>
  <c r="I156" i="14"/>
  <c r="I155" i="14"/>
  <c r="I154" i="14"/>
  <c r="I153" i="14"/>
  <c r="I151" i="14"/>
  <c r="I148" i="14"/>
  <c r="J20" i="14"/>
  <c r="M144" i="14" l="1"/>
  <c r="G138" i="14"/>
  <c r="G132" i="14"/>
  <c r="G129" i="14"/>
  <c r="G124" i="14"/>
  <c r="G113" i="14"/>
  <c r="I94" i="14"/>
  <c r="G88" i="14"/>
  <c r="G85" i="14"/>
  <c r="G80" i="14"/>
  <c r="G79" i="14"/>
  <c r="G78" i="14"/>
  <c r="G77" i="14"/>
  <c r="I70" i="14"/>
  <c r="G68" i="14"/>
  <c r="M63" i="14"/>
  <c r="G58" i="14"/>
  <c r="I56" i="14"/>
  <c r="I35" i="14"/>
  <c r="P19" i="14"/>
  <c r="G22" i="14"/>
  <c r="G21" i="14" l="1"/>
  <c r="G20" i="14"/>
  <c r="G18" i="14"/>
  <c r="K93" i="20"/>
  <c r="E76" i="20"/>
  <c r="M178" i="14"/>
  <c r="G161" i="14"/>
  <c r="E77" i="20"/>
  <c r="F77" i="20"/>
  <c r="G162" i="14"/>
  <c r="H162" i="14"/>
  <c r="F93" i="20"/>
  <c r="F92" i="20"/>
  <c r="E95" i="20"/>
  <c r="K80" i="20"/>
  <c r="H178" i="14"/>
  <c r="H177" i="14"/>
  <c r="G180" i="14"/>
  <c r="M165" i="14"/>
  <c r="E148" i="20"/>
  <c r="E105" i="20"/>
  <c r="H104" i="20"/>
  <c r="F103" i="20"/>
  <c r="E103" i="20"/>
  <c r="F99" i="20"/>
  <c r="E99" i="20"/>
  <c r="E98" i="20"/>
  <c r="E97" i="20"/>
  <c r="F96" i="20"/>
  <c r="E96" i="20"/>
  <c r="F95" i="20"/>
  <c r="H93" i="20"/>
  <c r="G93" i="20"/>
  <c r="K85" i="20"/>
  <c r="H85" i="20"/>
  <c r="G85" i="20"/>
  <c r="J80" i="20"/>
  <c r="F80" i="20"/>
  <c r="H77" i="20"/>
  <c r="G77" i="20"/>
  <c r="K76" i="20"/>
  <c r="H76" i="20"/>
  <c r="G76" i="20"/>
  <c r="H75" i="20"/>
  <c r="G75" i="20"/>
  <c r="F75" i="20"/>
  <c r="H74" i="20"/>
  <c r="G74" i="20"/>
  <c r="F74" i="20"/>
  <c r="G142" i="14"/>
  <c r="J189" i="14"/>
  <c r="H188" i="14"/>
  <c r="G188" i="14"/>
  <c r="H184" i="14"/>
  <c r="G184" i="14"/>
  <c r="G183" i="14"/>
  <c r="G182" i="14"/>
  <c r="H181" i="14"/>
  <c r="G181" i="14"/>
  <c r="H180" i="14"/>
  <c r="J178" i="14"/>
  <c r="I178" i="14"/>
  <c r="M170" i="14"/>
  <c r="J170" i="14"/>
  <c r="I170" i="14"/>
  <c r="L165" i="14"/>
  <c r="H165" i="14"/>
  <c r="J162" i="14"/>
  <c r="I162" i="14"/>
  <c r="M161" i="14"/>
  <c r="J161" i="14"/>
  <c r="I161" i="14"/>
  <c r="J160" i="14"/>
  <c r="I160" i="14"/>
  <c r="H160" i="14"/>
  <c r="J159" i="14"/>
  <c r="I159" i="14"/>
  <c r="H159" i="14"/>
  <c r="D73" i="25"/>
  <c r="A69" i="25"/>
  <c r="F66" i="25"/>
  <c r="F64" i="25"/>
  <c r="A19" i="25"/>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F69" i="25" l="1"/>
  <c r="G51" i="14" l="1"/>
  <c r="F20" i="20"/>
  <c r="E172" i="20"/>
  <c r="H224" i="20"/>
  <c r="D224" i="20"/>
  <c r="D231" i="20"/>
  <c r="J101" i="14"/>
  <c r="F105" i="20" l="1"/>
  <c r="H142" i="14"/>
  <c r="H20" i="14"/>
  <c r="A18" i="20"/>
  <c r="A19" i="20"/>
  <c r="A20" i="20"/>
  <c r="A21" i="20"/>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119" i="20" s="1"/>
  <c r="A120" i="20" s="1"/>
  <c r="A121" i="20" s="1"/>
  <c r="A122" i="20" s="1"/>
  <c r="A123" i="20" s="1"/>
  <c r="A124" i="20" s="1"/>
  <c r="A125" i="20" s="1"/>
  <c r="A126" i="20" s="1"/>
  <c r="A127" i="20" s="1"/>
  <c r="A128" i="20" s="1"/>
  <c r="A129" i="20" s="1"/>
  <c r="A130" i="20" s="1"/>
  <c r="A131" i="20" s="1"/>
  <c r="A132" i="20" s="1"/>
  <c r="A133" i="20" s="1"/>
  <c r="A134" i="20" s="1"/>
  <c r="A135" i="20" s="1"/>
  <c r="A136" i="20" s="1"/>
  <c r="A137" i="20" s="1"/>
  <c r="A138" i="20" s="1"/>
  <c r="A139" i="20" s="1"/>
  <c r="A140" i="20" s="1"/>
  <c r="A141" i="20" s="1"/>
  <c r="A142" i="20" s="1"/>
  <c r="A143" i="20" s="1"/>
  <c r="A144" i="20" s="1"/>
  <c r="A145" i="20" s="1"/>
  <c r="A146" i="20" s="1"/>
  <c r="A147" i="20" s="1"/>
  <c r="A148" i="20" s="1"/>
  <c r="A149" i="20" s="1"/>
  <c r="A150" i="20" s="1"/>
  <c r="A151" i="20" s="1"/>
  <c r="A152" i="20" s="1"/>
  <c r="A153" i="20" s="1"/>
  <c r="A154" i="20" s="1"/>
  <c r="A155" i="20" s="1"/>
  <c r="A156" i="20" s="1"/>
  <c r="A157" i="20" s="1"/>
  <c r="A158" i="20" s="1"/>
  <c r="A160" i="20" s="1"/>
  <c r="A161" i="20" s="1"/>
  <c r="A162" i="20" s="1"/>
  <c r="A163" i="20" s="1"/>
  <c r="A164" i="20" s="1"/>
  <c r="A165" i="20" s="1"/>
  <c r="A166" i="20" s="1"/>
  <c r="A167" i="20" s="1"/>
  <c r="A168" i="20" s="1"/>
  <c r="A169" i="20" s="1"/>
  <c r="A170" i="20" s="1"/>
  <c r="A171" i="20" s="1"/>
  <c r="A172" i="20" s="1"/>
  <c r="A173" i="20" s="1"/>
  <c r="A174" i="20" s="1"/>
  <c r="A175" i="20" s="1"/>
  <c r="A176" i="20" s="1"/>
  <c r="A177" i="20" s="1"/>
  <c r="A178" i="20" s="1"/>
  <c r="A179" i="20" s="1"/>
  <c r="A180" i="20" s="1"/>
  <c r="A181" i="20" s="1"/>
  <c r="A182" i="20" s="1"/>
  <c r="A183" i="20" s="1"/>
  <c r="A184" i="20" s="1"/>
  <c r="A185" i="20" s="1"/>
  <c r="A186" i="20" s="1"/>
  <c r="A187" i="20" s="1"/>
  <c r="A188" i="20" s="1"/>
  <c r="A189" i="20" s="1"/>
  <c r="A190" i="20" s="1"/>
  <c r="A191" i="20" s="1"/>
  <c r="A192" i="20" s="1"/>
  <c r="A193" i="20" s="1"/>
  <c r="A194" i="20" s="1"/>
  <c r="A195" i="20" s="1"/>
  <c r="A196" i="20" s="1"/>
  <c r="A197" i="20" s="1"/>
  <c r="A198" i="20" s="1"/>
  <c r="A199" i="20" s="1"/>
  <c r="A200" i="20" s="1"/>
  <c r="A201" i="20" s="1"/>
  <c r="A202" i="20" s="1"/>
  <c r="A203" i="20" s="1"/>
  <c r="A204" i="20" s="1"/>
  <c r="A205" i="20" s="1"/>
  <c r="A206" i="20" s="1"/>
  <c r="A207" i="20" s="1"/>
  <c r="A208" i="20" s="1"/>
  <c r="A209" i="20" s="1"/>
  <c r="A210" i="20" s="1"/>
  <c r="A211" i="20" s="1"/>
  <c r="A212" i="20" s="1"/>
  <c r="A213" i="20" s="1"/>
  <c r="A214" i="20" s="1"/>
  <c r="A215" i="20" s="1"/>
  <c r="A216" i="20" s="1"/>
  <c r="A217" i="20" s="1"/>
  <c r="A218" i="20" s="1"/>
  <c r="A219" i="20" s="1"/>
  <c r="A220" i="20" s="1"/>
  <c r="A221" i="20" s="1"/>
  <c r="A222" i="20" s="1"/>
  <c r="A223" i="20" s="1"/>
  <c r="A224" i="20" s="1"/>
  <c r="A225" i="20" s="1"/>
  <c r="A226" i="20" s="1"/>
  <c r="A227" i="20" s="1"/>
  <c r="A228" i="20" s="1"/>
  <c r="A229" i="20" s="1"/>
  <c r="A230" i="20" s="1"/>
  <c r="A231" i="20" s="1"/>
  <c r="A232" i="20" s="1"/>
  <c r="A233" i="20" s="1"/>
  <c r="A234" i="20" s="1"/>
  <c r="A235" i="20" s="1"/>
  <c r="A236" i="20" s="1"/>
  <c r="A237" i="20" s="1"/>
  <c r="A238" i="20" s="1"/>
  <c r="A239" i="20" s="1"/>
  <c r="A240" i="20" s="1"/>
  <c r="A241" i="20" s="1"/>
  <c r="A242" i="20" s="1"/>
  <c r="A243" i="20" s="1"/>
  <c r="C20" i="14"/>
  <c r="C21" i="14"/>
  <c r="C22" i="14"/>
  <c r="C23" i="14"/>
  <c r="C24" i="14" s="1"/>
  <c r="C25" i="14" s="1"/>
  <c r="C26" i="14" s="1"/>
  <c r="C27" i="14" s="1"/>
  <c r="C28" i="14" s="1"/>
  <c r="C29" i="14" s="1"/>
  <c r="C30" i="14" s="1"/>
  <c r="C31" i="14" s="1"/>
  <c r="C32" i="14" s="1"/>
  <c r="C33" i="14" s="1"/>
  <c r="C34" i="14" s="1"/>
  <c r="C35" i="14" s="1"/>
  <c r="C36" i="14" s="1"/>
  <c r="C37" i="14" s="1"/>
  <c r="C38" i="14" s="1"/>
  <c r="C39" i="14" s="1"/>
  <c r="C40" i="14" s="1"/>
  <c r="C41" i="14" s="1"/>
  <c r="C42" i="14" s="1"/>
  <c r="C43" i="14" s="1"/>
  <c r="C44" i="14" s="1"/>
  <c r="C45" i="14" s="1"/>
  <c r="C46" i="14" s="1"/>
  <c r="C47" i="14" s="1"/>
  <c r="C48" i="14" s="1"/>
  <c r="C49" i="14" s="1"/>
  <c r="C50" i="14" s="1"/>
  <c r="C51" i="14" s="1"/>
  <c r="C52" i="14" s="1"/>
  <c r="C53" i="14" s="1"/>
  <c r="C54" i="14" s="1"/>
  <c r="C55" i="14" s="1"/>
  <c r="C56" i="14" s="1"/>
  <c r="C57" i="14" s="1"/>
  <c r="C58" i="14" s="1"/>
  <c r="C59" i="14" s="1"/>
  <c r="C60" i="14" s="1"/>
  <c r="C61" i="14" s="1"/>
  <c r="C62" i="14" s="1"/>
  <c r="C63" i="14" s="1"/>
  <c r="C64" i="14" s="1"/>
  <c r="C65" i="14" s="1"/>
  <c r="C66" i="14" s="1"/>
  <c r="C67" i="14" s="1"/>
  <c r="C68" i="14" s="1"/>
  <c r="C69" i="14" s="1"/>
  <c r="C70" i="14" s="1"/>
  <c r="C71" i="14" s="1"/>
  <c r="C72" i="14" s="1"/>
  <c r="C73" i="14" s="1"/>
  <c r="C74" i="14" s="1"/>
  <c r="C75" i="14" s="1"/>
  <c r="C76" i="14" s="1"/>
  <c r="C77" i="14" s="1"/>
  <c r="C78" i="14" s="1"/>
  <c r="C79" i="14" s="1"/>
  <c r="C80" i="14" s="1"/>
  <c r="C81" i="14" s="1"/>
  <c r="C82" i="14" s="1"/>
  <c r="C83" i="14" s="1"/>
  <c r="C84" i="14" s="1"/>
  <c r="C85" i="14" s="1"/>
  <c r="C86" i="14" s="1"/>
  <c r="C87" i="14" s="1"/>
  <c r="C88" i="14" s="1"/>
  <c r="C89" i="14" s="1"/>
  <c r="C90" i="14" s="1"/>
  <c r="C91" i="14" s="1"/>
  <c r="C92" i="14" s="1"/>
  <c r="C93" i="14" s="1"/>
  <c r="C94" i="14" s="1"/>
  <c r="C95" i="14" s="1"/>
  <c r="C96" i="14" s="1"/>
  <c r="C97" i="14" s="1"/>
  <c r="C98" i="14" s="1"/>
  <c r="C99" i="14" s="1"/>
  <c r="C100" i="14" s="1"/>
  <c r="C101" i="14" s="1"/>
  <c r="C102" i="14" s="1"/>
  <c r="C103" i="14" s="1"/>
  <c r="C104" i="14" s="1"/>
  <c r="C105" i="14" s="1"/>
  <c r="C106" i="14" s="1"/>
  <c r="C107" i="14" s="1"/>
  <c r="C108" i="14" s="1"/>
  <c r="C109" i="14" s="1"/>
  <c r="C110" i="14" s="1"/>
  <c r="C111" i="14" s="1"/>
  <c r="C112" i="14" s="1"/>
  <c r="C113" i="14" s="1"/>
  <c r="C114" i="14" s="1"/>
  <c r="C115" i="14" s="1"/>
  <c r="C116" i="14" s="1"/>
  <c r="C117" i="14" s="1"/>
  <c r="C118" i="14" s="1"/>
  <c r="C119" i="14" s="1"/>
  <c r="C120" i="14" s="1"/>
  <c r="C121" i="14" s="1"/>
  <c r="C122" i="14" s="1"/>
  <c r="C123" i="14" s="1"/>
  <c r="C124" i="14" s="1"/>
  <c r="C125" i="14" s="1"/>
  <c r="C126" i="14" s="1"/>
  <c r="C127" i="14" s="1"/>
  <c r="C128" i="14" s="1"/>
  <c r="C129" i="14" s="1"/>
  <c r="C130" i="14" s="1"/>
  <c r="C131" i="14" s="1"/>
  <c r="C132" i="14" s="1"/>
  <c r="C133" i="14" s="1"/>
  <c r="C134" i="14" s="1"/>
  <c r="C135" i="14" s="1"/>
  <c r="C136" i="14" s="1"/>
  <c r="C137" i="14" s="1"/>
  <c r="C138" i="14" s="1"/>
  <c r="C139" i="14" s="1"/>
  <c r="C140" i="14" s="1"/>
  <c r="C141" i="14" s="1"/>
  <c r="C142" i="14" s="1"/>
  <c r="C143" i="14" s="1"/>
  <c r="C144" i="14" s="1"/>
  <c r="C145" i="14" s="1"/>
  <c r="C146" i="14" s="1"/>
  <c r="C147" i="14" s="1"/>
  <c r="C148" i="14" s="1"/>
  <c r="C149" i="14" s="1"/>
  <c r="C150" i="14" s="1"/>
  <c r="C151" i="14" s="1"/>
  <c r="C152" i="14" s="1"/>
  <c r="C153" i="14" s="1"/>
  <c r="C154" i="14" s="1"/>
  <c r="C155" i="14" s="1"/>
  <c r="C156" i="14" s="1"/>
  <c r="C157" i="14" s="1"/>
  <c r="C158" i="14" s="1"/>
  <c r="C159" i="14" s="1"/>
  <c r="C160" i="14" s="1"/>
  <c r="C161" i="14" s="1"/>
  <c r="C162" i="14" s="1"/>
  <c r="C163" i="14" s="1"/>
  <c r="C164" i="14" s="1"/>
  <c r="C165" i="14" s="1"/>
  <c r="C166" i="14" s="1"/>
  <c r="C167" i="14" s="1"/>
  <c r="C168" i="14" s="1"/>
  <c r="C169" i="14" s="1"/>
  <c r="C170" i="14" s="1"/>
  <c r="C171" i="14" s="1"/>
  <c r="C172" i="14" s="1"/>
  <c r="C173" i="14" s="1"/>
  <c r="C174" i="14" s="1"/>
  <c r="C175" i="14" s="1"/>
  <c r="C176" i="14" s="1"/>
  <c r="C177" i="14" s="1"/>
  <c r="C178" i="14" s="1"/>
  <c r="C179" i="14" s="1"/>
  <c r="C180" i="14" s="1"/>
  <c r="C181" i="14" s="1"/>
  <c r="C182" i="14" s="1"/>
  <c r="C183" i="14" s="1"/>
  <c r="C184" i="14" s="1"/>
  <c r="C185" i="14" s="1"/>
  <c r="C186" i="14" s="1"/>
  <c r="C187" i="14" s="1"/>
  <c r="C188" i="14" s="1"/>
  <c r="C189" i="14" s="1"/>
  <c r="C190" i="14" s="1"/>
  <c r="C191" i="14" s="1"/>
  <c r="E240" i="20"/>
  <c r="G60" i="14"/>
  <c r="E158" i="20" l="1"/>
  <c r="G37" i="14"/>
  <c r="G156" i="14"/>
  <c r="G148" i="14"/>
  <c r="G44" i="14"/>
  <c r="E165" i="20"/>
  <c r="E161" i="20"/>
  <c r="G40" i="14"/>
  <c r="F18" i="20"/>
  <c r="G160" i="20"/>
  <c r="L196" i="20"/>
  <c r="N144" i="14"/>
  <c r="E92" i="20"/>
  <c r="E93" i="20"/>
  <c r="G177" i="14"/>
  <c r="G178" i="14"/>
  <c r="F81" i="20"/>
  <c r="E81" i="20"/>
  <c r="H166" i="14"/>
  <c r="G166" i="14"/>
  <c r="G166" i="20"/>
  <c r="I45" i="14"/>
  <c r="H179" i="14" l="1"/>
  <c r="G179" i="14"/>
  <c r="F94" i="20"/>
  <c r="E94" i="20"/>
  <c r="H141" i="14" l="1"/>
  <c r="F136" i="20"/>
  <c r="M140" i="14" l="1"/>
  <c r="K135" i="20"/>
  <c r="I46" i="14" l="1"/>
  <c r="G167" i="20"/>
  <c r="E208" i="20" l="1"/>
  <c r="E198" i="20"/>
  <c r="E42" i="20"/>
  <c r="G96" i="14"/>
  <c r="G57" i="14"/>
  <c r="E218" i="20" l="1"/>
  <c r="G152" i="14" l="1"/>
  <c r="N145" i="14" l="1"/>
  <c r="M145" i="14"/>
  <c r="H140" i="14"/>
  <c r="M139" i="14"/>
  <c r="H144" i="14"/>
  <c r="G144" i="14"/>
  <c r="G112" i="14"/>
  <c r="H107" i="14"/>
  <c r="L138" i="20"/>
  <c r="K138" i="20"/>
  <c r="F135" i="20"/>
  <c r="K134" i="20"/>
  <c r="F196" i="20"/>
  <c r="E196" i="20"/>
  <c r="E197" i="20"/>
  <c r="E142" i="20"/>
  <c r="E62" i="20"/>
  <c r="E59" i="20" s="1"/>
  <c r="F61" i="20"/>
  <c r="F59" i="20" s="1"/>
  <c r="F148" i="20" l="1"/>
  <c r="K82" i="20"/>
  <c r="K75" i="20"/>
  <c r="K74" i="20"/>
  <c r="K97" i="20"/>
  <c r="K92" i="20"/>
  <c r="M167" i="14"/>
  <c r="M160" i="14"/>
  <c r="M159" i="14"/>
  <c r="M182" i="14"/>
  <c r="M177" i="14"/>
  <c r="F76" i="20"/>
  <c r="J95" i="20"/>
  <c r="F78" i="20"/>
  <c r="F97" i="20"/>
  <c r="K98" i="20"/>
  <c r="F98" i="20"/>
  <c r="L94" i="20"/>
  <c r="K94" i="20"/>
  <c r="J93" i="20"/>
  <c r="J92" i="20"/>
  <c r="F100" i="20"/>
  <c r="M180" i="14"/>
  <c r="H161" i="14"/>
  <c r="L180" i="14"/>
  <c r="H163" i="14"/>
  <c r="H182" i="14"/>
  <c r="M183" i="14"/>
  <c r="H183" i="14"/>
  <c r="M179" i="14"/>
  <c r="N179" i="14"/>
  <c r="L178" i="14"/>
  <c r="L177" i="14"/>
  <c r="H185" i="14"/>
  <c r="I89" i="20"/>
  <c r="I103" i="20"/>
  <c r="J103" i="20"/>
  <c r="H103" i="20"/>
  <c r="G103" i="20"/>
  <c r="J96" i="20"/>
  <c r="I96" i="20"/>
  <c r="I95" i="20"/>
  <c r="I93" i="20"/>
  <c r="I92" i="20"/>
  <c r="L91" i="20"/>
  <c r="K91" i="20"/>
  <c r="J90" i="20"/>
  <c r="I90" i="20"/>
  <c r="J89" i="20"/>
  <c r="F89" i="20"/>
  <c r="K88" i="20"/>
  <c r="I88" i="20"/>
  <c r="I86" i="20"/>
  <c r="E86" i="20"/>
  <c r="J85" i="20"/>
  <c r="I85" i="20"/>
  <c r="F85" i="20"/>
  <c r="E85" i="20"/>
  <c r="I84" i="20"/>
  <c r="I83" i="20"/>
  <c r="I82" i="20"/>
  <c r="K81" i="20"/>
  <c r="J81" i="20"/>
  <c r="I81" i="20"/>
  <c r="I80" i="20"/>
  <c r="J79" i="20"/>
  <c r="I79" i="20"/>
  <c r="J78" i="20"/>
  <c r="I78" i="20"/>
  <c r="J77" i="20"/>
  <c r="I77" i="20"/>
  <c r="J76" i="20"/>
  <c r="I76" i="20"/>
  <c r="J75" i="20"/>
  <c r="I75" i="20"/>
  <c r="J74" i="20"/>
  <c r="I74" i="20"/>
  <c r="L161" i="14"/>
  <c r="K161" i="14"/>
  <c r="K189" i="14"/>
  <c r="L188" i="14"/>
  <c r="K188" i="14"/>
  <c r="J188" i="14"/>
  <c r="I188" i="14"/>
  <c r="L181" i="14"/>
  <c r="K181" i="14"/>
  <c r="K180" i="14"/>
  <c r="K178" i="14"/>
  <c r="K177" i="14"/>
  <c r="N176" i="14"/>
  <c r="M176" i="14"/>
  <c r="L175" i="14"/>
  <c r="K175" i="14"/>
  <c r="L174" i="14"/>
  <c r="K174" i="14"/>
  <c r="H174" i="14"/>
  <c r="M173" i="14"/>
  <c r="K173" i="14"/>
  <c r="K171" i="14"/>
  <c r="G171" i="14"/>
  <c r="L170" i="14"/>
  <c r="K170" i="14"/>
  <c r="H170" i="14"/>
  <c r="G170" i="14"/>
  <c r="K169" i="14"/>
  <c r="K168" i="14"/>
  <c r="K167" i="14"/>
  <c r="M166" i="14"/>
  <c r="L166" i="14"/>
  <c r="K166" i="14"/>
  <c r="K165" i="14"/>
  <c r="L164" i="14"/>
  <c r="K164" i="14"/>
  <c r="L163" i="14"/>
  <c r="K163" i="14"/>
  <c r="L162" i="14"/>
  <c r="K162" i="14"/>
  <c r="L160" i="14"/>
  <c r="K160" i="14"/>
  <c r="L159" i="14"/>
  <c r="K159" i="14"/>
  <c r="J190" i="14"/>
  <c r="E239" i="20" l="1"/>
  <c r="I81" i="14" l="1"/>
  <c r="M146" i="14" l="1"/>
  <c r="K179" i="20"/>
  <c r="E58" i="20" l="1"/>
  <c r="G174" i="14"/>
  <c r="G190" i="14" s="1"/>
  <c r="G149" i="14"/>
  <c r="F87" i="20"/>
  <c r="H172" i="14"/>
  <c r="J99" i="20"/>
  <c r="I99" i="20"/>
  <c r="K184" i="14"/>
  <c r="L184" i="14"/>
  <c r="I29" i="14" l="1"/>
  <c r="H19" i="20" l="1"/>
  <c r="G19" i="20"/>
  <c r="E241" i="20"/>
  <c r="F151" i="20"/>
  <c r="F150" i="20" s="1"/>
  <c r="G76" i="14"/>
  <c r="H29" i="14"/>
  <c r="J29" i="14"/>
  <c r="F112" i="20" l="1"/>
  <c r="D140" i="20" l="1"/>
  <c r="E128" i="20"/>
  <c r="G101" i="14" l="1"/>
  <c r="E227" i="20"/>
  <c r="G42" i="14" l="1"/>
  <c r="G29" i="14" s="1"/>
  <c r="E29" i="14" s="1"/>
  <c r="I64" i="14"/>
  <c r="E163" i="20"/>
  <c r="E151" i="20" s="1"/>
  <c r="G151" i="20"/>
  <c r="C151" i="20" s="1"/>
  <c r="G31" i="20"/>
  <c r="G154" i="14" l="1"/>
  <c r="G151" i="14"/>
  <c r="G150" i="14"/>
  <c r="E188" i="20"/>
  <c r="D101" i="20" l="1"/>
  <c r="G107" i="14" l="1"/>
  <c r="G112" i="20" l="1"/>
  <c r="C112" i="20" s="1"/>
  <c r="D22" i="20" l="1"/>
  <c r="P158" i="14" l="1"/>
  <c r="O19" i="14"/>
  <c r="M16" i="20" l="1"/>
  <c r="C19" i="20"/>
  <c r="O158" i="14"/>
  <c r="O191" i="14" s="1"/>
  <c r="E19" i="14"/>
  <c r="G198" i="20"/>
  <c r="C198" i="20" s="1"/>
  <c r="E120" i="20"/>
  <c r="G233" i="20"/>
  <c r="E130" i="20"/>
  <c r="G59" i="20"/>
  <c r="H59" i="20"/>
  <c r="H58" i="20" s="1"/>
  <c r="F17" i="20"/>
  <c r="E17" i="20"/>
  <c r="E129" i="20" l="1"/>
  <c r="G66" i="14"/>
  <c r="G90" i="14"/>
  <c r="G128" i="14"/>
  <c r="J107" i="14"/>
  <c r="J158" i="14" s="1"/>
  <c r="I107" i="14"/>
  <c r="H17" i="14"/>
  <c r="G17" i="14"/>
  <c r="G227" i="20" l="1"/>
  <c r="E40" i="20"/>
  <c r="H190" i="14" l="1"/>
  <c r="I190" i="14"/>
  <c r="K190" i="14"/>
  <c r="L190" i="14"/>
  <c r="M190" i="14"/>
  <c r="E190" i="14" s="1"/>
  <c r="N190" i="14"/>
  <c r="I101" i="14"/>
  <c r="F190" i="14" l="1"/>
  <c r="D156" i="20"/>
  <c r="H151" i="20" l="1"/>
  <c r="D151" i="20" l="1"/>
  <c r="E19" i="20" l="1"/>
  <c r="C19" i="14" l="1"/>
  <c r="A17" i="20"/>
  <c r="G19" i="14" l="1"/>
  <c r="K150" i="20"/>
  <c r="L150" i="20"/>
  <c r="G81" i="14"/>
  <c r="H190" i="20"/>
  <c r="H150" i="20" s="1"/>
  <c r="D150" i="20" s="1"/>
  <c r="G190" i="20"/>
  <c r="G150" i="20" s="1"/>
  <c r="G158" i="14" l="1"/>
  <c r="N158" i="14" l="1"/>
  <c r="F158" i="14" s="1"/>
  <c r="D17" i="20" l="1"/>
  <c r="D18" i="20"/>
  <c r="F19" i="20"/>
  <c r="H16" i="20"/>
  <c r="H243" i="20" s="1"/>
  <c r="D20" i="20"/>
  <c r="D19" i="20" s="1"/>
  <c r="D26" i="20"/>
  <c r="G27" i="20"/>
  <c r="E29" i="20"/>
  <c r="G29" i="20"/>
  <c r="K29" i="20"/>
  <c r="K16" i="20" s="1"/>
  <c r="E33" i="20"/>
  <c r="E37" i="20"/>
  <c r="D47" i="20"/>
  <c r="F58" i="20"/>
  <c r="K58" i="20"/>
  <c r="L58" i="20"/>
  <c r="G58" i="20"/>
  <c r="I58" i="20"/>
  <c r="I243" i="20" s="1"/>
  <c r="J58" i="20"/>
  <c r="J243" i="20" s="1"/>
  <c r="D60" i="20"/>
  <c r="D61" i="20"/>
  <c r="D74" i="20"/>
  <c r="D75" i="20"/>
  <c r="D76" i="20"/>
  <c r="D77" i="20"/>
  <c r="D78" i="20"/>
  <c r="D80" i="20"/>
  <c r="D81" i="20"/>
  <c r="D82" i="20"/>
  <c r="D83" i="20"/>
  <c r="D84" i="20"/>
  <c r="D86" i="20"/>
  <c r="D87" i="20"/>
  <c r="D88" i="20"/>
  <c r="D90" i="20"/>
  <c r="D91" i="20"/>
  <c r="D92" i="20"/>
  <c r="D93" i="20"/>
  <c r="D94" i="20"/>
  <c r="D95" i="20"/>
  <c r="D96" i="20"/>
  <c r="D97" i="20"/>
  <c r="D98" i="20"/>
  <c r="D99" i="20"/>
  <c r="D100" i="20"/>
  <c r="D102" i="20"/>
  <c r="D103" i="20"/>
  <c r="D104" i="20"/>
  <c r="D105" i="20"/>
  <c r="K112" i="20"/>
  <c r="L112" i="20"/>
  <c r="E113" i="20"/>
  <c r="E112" i="20" s="1"/>
  <c r="D134" i="20"/>
  <c r="D135" i="20"/>
  <c r="D136" i="20"/>
  <c r="D138" i="20"/>
  <c r="D139" i="20"/>
  <c r="D148" i="20"/>
  <c r="D149" i="20"/>
  <c r="D190" i="20"/>
  <c r="D191" i="20"/>
  <c r="E192" i="20"/>
  <c r="E150" i="20" s="1"/>
  <c r="C150" i="20" s="1"/>
  <c r="K197" i="20"/>
  <c r="G197" i="20"/>
  <c r="C197" i="20" s="1"/>
  <c r="E225" i="20"/>
  <c r="G224" i="20"/>
  <c r="E233" i="20"/>
  <c r="D58" i="20" l="1"/>
  <c r="C58" i="20"/>
  <c r="E16" i="20"/>
  <c r="E224" i="20"/>
  <c r="L243" i="20"/>
  <c r="D112" i="20"/>
  <c r="K243" i="20"/>
  <c r="G16" i="20"/>
  <c r="D59" i="20"/>
  <c r="F16" i="20"/>
  <c r="D16" i="20" s="1"/>
  <c r="E243" i="20" l="1"/>
  <c r="C16" i="20"/>
  <c r="G243" i="20"/>
  <c r="C243" i="20" s="1"/>
  <c r="F243" i="20"/>
  <c r="D243" i="20"/>
  <c r="I57" i="14" l="1"/>
  <c r="I66" i="14" l="1"/>
  <c r="E66" i="14" l="1"/>
  <c r="L158" i="14"/>
  <c r="L191" i="14" s="1"/>
  <c r="K158" i="14"/>
  <c r="K191" i="14" s="1"/>
  <c r="I19" i="14"/>
  <c r="M57" i="14"/>
  <c r="M158" i="14" s="1"/>
  <c r="G67" i="15"/>
  <c r="G72" i="15"/>
  <c r="F79" i="15"/>
  <c r="F72" i="15"/>
  <c r="F67" i="15"/>
  <c r="S89" i="15"/>
  <c r="G207" i="15"/>
  <c r="C207" i="15" s="1"/>
  <c r="D207" i="15"/>
  <c r="H206" i="15"/>
  <c r="G206" i="15"/>
  <c r="C206" i="15" s="1"/>
  <c r="G205" i="15"/>
  <c r="C205" i="15" s="1"/>
  <c r="D205" i="15"/>
  <c r="G204" i="15"/>
  <c r="C204" i="15" s="1"/>
  <c r="D204" i="15"/>
  <c r="A204" i="15"/>
  <c r="A205" i="15" s="1"/>
  <c r="H203" i="15"/>
  <c r="G203" i="15"/>
  <c r="C203" i="15" s="1"/>
  <c r="G202" i="15"/>
  <c r="G200" i="15" s="1"/>
  <c r="D202" i="15"/>
  <c r="K201" i="15"/>
  <c r="C201" i="15" s="1"/>
  <c r="D201" i="15"/>
  <c r="L200" i="15"/>
  <c r="H200" i="15"/>
  <c r="G199" i="15"/>
  <c r="G198" i="15" s="1"/>
  <c r="C198" i="15" s="1"/>
  <c r="D199" i="15"/>
  <c r="A199" i="15"/>
  <c r="A200" i="15"/>
  <c r="A201" i="15" s="1"/>
  <c r="A202" i="15" s="1"/>
  <c r="H198" i="15"/>
  <c r="L197" i="15"/>
  <c r="S196" i="15"/>
  <c r="G196" i="15"/>
  <c r="C196" i="15" s="1"/>
  <c r="E196" i="15"/>
  <c r="D196" i="15"/>
  <c r="G195" i="15"/>
  <c r="C195" i="15" s="1"/>
  <c r="E195" i="15"/>
  <c r="D195" i="15"/>
  <c r="G194" i="15"/>
  <c r="C194" i="15" s="1"/>
  <c r="E194" i="15"/>
  <c r="D194" i="15"/>
  <c r="S193" i="15"/>
  <c r="G193" i="15"/>
  <c r="C193" i="15" s="1"/>
  <c r="E193" i="15"/>
  <c r="D193" i="15"/>
  <c r="G192" i="15"/>
  <c r="C192" i="15" s="1"/>
  <c r="E192" i="15"/>
  <c r="D192" i="15"/>
  <c r="G191" i="15"/>
  <c r="C191" i="15" s="1"/>
  <c r="E191" i="15"/>
  <c r="D191" i="15"/>
  <c r="G190" i="15"/>
  <c r="C190" i="15" s="1"/>
  <c r="E190" i="15"/>
  <c r="D190" i="15"/>
  <c r="S189" i="15"/>
  <c r="G189" i="15"/>
  <c r="E189" i="15"/>
  <c r="D189" i="15"/>
  <c r="G188" i="15"/>
  <c r="C188" i="15" s="1"/>
  <c r="E188" i="15"/>
  <c r="D188" i="15"/>
  <c r="A188" i="15"/>
  <c r="A189" i="15" s="1"/>
  <c r="A190" i="15" s="1"/>
  <c r="A191" i="15" s="1"/>
  <c r="A192" i="15" s="1"/>
  <c r="A193" i="15" s="1"/>
  <c r="A194" i="15" s="1"/>
  <c r="A195" i="15" s="1"/>
  <c r="A196" i="15" s="1"/>
  <c r="S187" i="15"/>
  <c r="G187" i="15"/>
  <c r="C187" i="15"/>
  <c r="E187" i="15"/>
  <c r="D187" i="15"/>
  <c r="G186" i="15"/>
  <c r="G185" i="15"/>
  <c r="C185" i="15" s="1"/>
  <c r="D186" i="15"/>
  <c r="A186" i="15"/>
  <c r="H185" i="15"/>
  <c r="D185" i="15" s="1"/>
  <c r="G184" i="15"/>
  <c r="C184" i="15" s="1"/>
  <c r="D184" i="15"/>
  <c r="G183" i="15"/>
  <c r="C183" i="15" s="1"/>
  <c r="D183" i="15"/>
  <c r="G182" i="15"/>
  <c r="C182" i="15" s="1"/>
  <c r="D182" i="15"/>
  <c r="K181" i="15"/>
  <c r="C181" i="15"/>
  <c r="D181" i="15"/>
  <c r="G180" i="15"/>
  <c r="C180" i="15" s="1"/>
  <c r="D180" i="15"/>
  <c r="A180" i="15"/>
  <c r="A181" i="15" s="1"/>
  <c r="G179" i="15"/>
  <c r="C179" i="15" s="1"/>
  <c r="F179" i="15"/>
  <c r="K178" i="15"/>
  <c r="C178" i="15" s="1"/>
  <c r="F178" i="15"/>
  <c r="N177" i="15"/>
  <c r="K177" i="15" s="1"/>
  <c r="G177" i="15"/>
  <c r="D177" i="15"/>
  <c r="L176" i="15"/>
  <c r="J176" i="15"/>
  <c r="J175" i="15" s="1"/>
  <c r="H176" i="15"/>
  <c r="V175" i="15"/>
  <c r="U175" i="15"/>
  <c r="T175" i="15"/>
  <c r="I175" i="15"/>
  <c r="S174" i="15"/>
  <c r="K174" i="15"/>
  <c r="E174" i="15"/>
  <c r="D174" i="15"/>
  <c r="A174" i="15"/>
  <c r="A175" i="15" s="1"/>
  <c r="A176" i="15" s="1"/>
  <c r="A177" i="15" s="1"/>
  <c r="A178" i="15" s="1"/>
  <c r="S173" i="15"/>
  <c r="K173" i="15"/>
  <c r="C173" i="15" s="1"/>
  <c r="E173" i="15"/>
  <c r="D173" i="15"/>
  <c r="G172" i="15"/>
  <c r="C172" i="15" s="1"/>
  <c r="D172" i="15"/>
  <c r="G171" i="15"/>
  <c r="C171" i="15"/>
  <c r="D171" i="15"/>
  <c r="D170" i="15"/>
  <c r="K169" i="15"/>
  <c r="C169" i="15"/>
  <c r="E169" i="15"/>
  <c r="D169" i="15"/>
  <c r="K168" i="15"/>
  <c r="C168" i="15"/>
  <c r="E168" i="15"/>
  <c r="D168" i="15"/>
  <c r="K167" i="15"/>
  <c r="C167" i="15"/>
  <c r="E167" i="15"/>
  <c r="D167" i="15"/>
  <c r="K166" i="15"/>
  <c r="G166" i="15"/>
  <c r="E166" i="15"/>
  <c r="D166" i="15"/>
  <c r="K165" i="15"/>
  <c r="C165" i="15"/>
  <c r="E165" i="15"/>
  <c r="D165" i="15"/>
  <c r="K164" i="15"/>
  <c r="C164" i="15"/>
  <c r="E164" i="15"/>
  <c r="D164" i="15"/>
  <c r="K163" i="15"/>
  <c r="C163" i="15"/>
  <c r="E163" i="15"/>
  <c r="D163" i="15"/>
  <c r="K162" i="15"/>
  <c r="C162" i="15"/>
  <c r="E162" i="15"/>
  <c r="D162" i="15"/>
  <c r="K161" i="15"/>
  <c r="C161" i="15"/>
  <c r="E161" i="15"/>
  <c r="D161" i="15"/>
  <c r="K160" i="15"/>
  <c r="C160" i="15"/>
  <c r="E160" i="15"/>
  <c r="D160" i="15"/>
  <c r="K159" i="15"/>
  <c r="C159" i="15"/>
  <c r="E159" i="15"/>
  <c r="D159" i="15"/>
  <c r="K158" i="15"/>
  <c r="C158" i="15"/>
  <c r="E158" i="15"/>
  <c r="D158" i="15"/>
  <c r="A158" i="15"/>
  <c r="A159" i="15"/>
  <c r="A160" i="15" s="1"/>
  <c r="A161" i="15" s="1"/>
  <c r="A162" i="15" s="1"/>
  <c r="A163" i="15" s="1"/>
  <c r="A164" i="15" s="1"/>
  <c r="A165" i="15" s="1"/>
  <c r="A166" i="15" s="1"/>
  <c r="A167" i="15" s="1"/>
  <c r="A168" i="15" s="1"/>
  <c r="A169" i="15" s="1"/>
  <c r="A170" i="15" s="1"/>
  <c r="A171" i="15" s="1"/>
  <c r="A172" i="15" s="1"/>
  <c r="S157" i="15"/>
  <c r="G157" i="15"/>
  <c r="C157" i="15" s="1"/>
  <c r="E157" i="15"/>
  <c r="D157" i="15"/>
  <c r="G156" i="15"/>
  <c r="C156" i="15" s="1"/>
  <c r="D156" i="15"/>
  <c r="G155" i="15"/>
  <c r="C155" i="15" s="1"/>
  <c r="D155" i="15"/>
  <c r="G154" i="15"/>
  <c r="C154" i="15"/>
  <c r="F154" i="15"/>
  <c r="G153" i="15"/>
  <c r="C153" i="15" s="1"/>
  <c r="F153" i="15"/>
  <c r="K152" i="15"/>
  <c r="C152" i="15" s="1"/>
  <c r="E152" i="15"/>
  <c r="D152" i="15"/>
  <c r="G151" i="15"/>
  <c r="C151" i="15" s="1"/>
  <c r="D151" i="15"/>
  <c r="G150" i="15"/>
  <c r="C150" i="15" s="1"/>
  <c r="D150" i="15"/>
  <c r="K149" i="15"/>
  <c r="K148" i="15"/>
  <c r="C148" i="15" s="1"/>
  <c r="D148" i="15"/>
  <c r="K147" i="15"/>
  <c r="C147" i="15" s="1"/>
  <c r="D147" i="15"/>
  <c r="A147" i="15"/>
  <c r="A148" i="15" s="1"/>
  <c r="G146" i="15"/>
  <c r="C146" i="15" s="1"/>
  <c r="D146" i="15"/>
  <c r="G145" i="15"/>
  <c r="C145" i="15" s="1"/>
  <c r="D145" i="15"/>
  <c r="G144" i="15"/>
  <c r="C144" i="15" s="1"/>
  <c r="D144" i="15"/>
  <c r="G143" i="15"/>
  <c r="D143" i="15"/>
  <c r="G142" i="15"/>
  <c r="C142" i="15" s="1"/>
  <c r="D142" i="15"/>
  <c r="M141" i="15"/>
  <c r="M140" i="15" s="1"/>
  <c r="L141" i="15"/>
  <c r="J141" i="15"/>
  <c r="F141" i="15" s="1"/>
  <c r="H141" i="15"/>
  <c r="A141" i="15"/>
  <c r="A142" i="15" s="1"/>
  <c r="A143" i="15" s="1"/>
  <c r="A144" i="15" s="1"/>
  <c r="U140" i="15"/>
  <c r="T140" i="15"/>
  <c r="I140" i="15"/>
  <c r="S139" i="15"/>
  <c r="G139" i="15"/>
  <c r="E139" i="15"/>
  <c r="D139" i="15"/>
  <c r="S138" i="15"/>
  <c r="G138" i="15"/>
  <c r="E138" i="15"/>
  <c r="D138" i="15"/>
  <c r="G137" i="15"/>
  <c r="C137" i="15"/>
  <c r="D137" i="15"/>
  <c r="G136" i="15"/>
  <c r="C136" i="15" s="1"/>
  <c r="D136" i="15"/>
  <c r="D135" i="15"/>
  <c r="G134" i="15"/>
  <c r="D134" i="15"/>
  <c r="D133" i="15"/>
  <c r="G132" i="15"/>
  <c r="C132" i="15" s="1"/>
  <c r="D132" i="15"/>
  <c r="S131" i="15"/>
  <c r="G131" i="15"/>
  <c r="E131" i="15"/>
  <c r="D131" i="15"/>
  <c r="G130" i="15"/>
  <c r="C130" i="15" s="1"/>
  <c r="D130" i="15"/>
  <c r="G129" i="15"/>
  <c r="C129" i="15" s="1"/>
  <c r="E129" i="15"/>
  <c r="D129" i="15"/>
  <c r="S128" i="15"/>
  <c r="G128" i="15"/>
  <c r="E128" i="15"/>
  <c r="D128" i="15"/>
  <c r="S127" i="15"/>
  <c r="G127" i="15"/>
  <c r="E127" i="15"/>
  <c r="D127" i="15"/>
  <c r="G126" i="15"/>
  <c r="C126" i="15" s="1"/>
  <c r="E126" i="15"/>
  <c r="D126" i="15"/>
  <c r="S125" i="15"/>
  <c r="G125" i="15"/>
  <c r="C125" i="15"/>
  <c r="E125" i="15"/>
  <c r="D125" i="15"/>
  <c r="S124" i="15"/>
  <c r="G124" i="15"/>
  <c r="C124" i="15" s="1"/>
  <c r="E124" i="15"/>
  <c r="D124" i="15"/>
  <c r="A124" i="15"/>
  <c r="A125" i="15" s="1"/>
  <c r="A126" i="15" s="1"/>
  <c r="A127" i="15" s="1"/>
  <c r="A128" i="15" s="1"/>
  <c r="A129" i="15" s="1"/>
  <c r="A130" i="15" s="1"/>
  <c r="A131" i="15" s="1"/>
  <c r="A132" i="15" s="1"/>
  <c r="A133" i="15" s="1"/>
  <c r="A134" i="15" s="1"/>
  <c r="A135" i="15" s="1"/>
  <c r="A136" i="15" s="1"/>
  <c r="A137" i="15" s="1"/>
  <c r="S123" i="15"/>
  <c r="G123" i="15"/>
  <c r="E123" i="15"/>
  <c r="D123" i="15"/>
  <c r="S122" i="15"/>
  <c r="G122" i="15"/>
  <c r="E122" i="15"/>
  <c r="D122" i="15"/>
  <c r="G121" i="15"/>
  <c r="C121" i="15" s="1"/>
  <c r="D121" i="15"/>
  <c r="G120" i="15"/>
  <c r="C120" i="15" s="1"/>
  <c r="D120" i="15"/>
  <c r="G119" i="15"/>
  <c r="C119" i="15" s="1"/>
  <c r="D119" i="15"/>
  <c r="G118" i="15"/>
  <c r="D118" i="15"/>
  <c r="C118" i="15"/>
  <c r="S117" i="15"/>
  <c r="G117" i="15"/>
  <c r="C117" i="15" s="1"/>
  <c r="E117" i="15"/>
  <c r="D117" i="15"/>
  <c r="G116" i="15"/>
  <c r="D116" i="15"/>
  <c r="C116" i="15"/>
  <c r="G115" i="15"/>
  <c r="C115" i="15" s="1"/>
  <c r="D115" i="15"/>
  <c r="S114" i="15"/>
  <c r="G114" i="15"/>
  <c r="F114" i="15"/>
  <c r="E114" i="15"/>
  <c r="D114" i="15"/>
  <c r="C114" i="15"/>
  <c r="G113" i="15"/>
  <c r="C113" i="15" s="1"/>
  <c r="D113" i="15"/>
  <c r="G112" i="15"/>
  <c r="C112" i="15" s="1"/>
  <c r="D112" i="15"/>
  <c r="S111" i="15"/>
  <c r="G111" i="15"/>
  <c r="F111" i="15"/>
  <c r="E111" i="15"/>
  <c r="D111" i="15"/>
  <c r="G110" i="15"/>
  <c r="D110" i="15"/>
  <c r="C110" i="15"/>
  <c r="G109" i="15"/>
  <c r="C109" i="15" s="1"/>
  <c r="D109" i="15"/>
  <c r="G108" i="15"/>
  <c r="C108" i="15" s="1"/>
  <c r="D108" i="15"/>
  <c r="G107" i="15"/>
  <c r="C107" i="15"/>
  <c r="D107" i="15"/>
  <c r="G106" i="15"/>
  <c r="C106" i="15" s="1"/>
  <c r="D106" i="15"/>
  <c r="G105" i="15"/>
  <c r="D105" i="15"/>
  <c r="G104" i="15"/>
  <c r="C104" i="15"/>
  <c r="D104" i="15"/>
  <c r="A104" i="15"/>
  <c r="G103" i="15"/>
  <c r="C103" i="15"/>
  <c r="D103" i="15"/>
  <c r="G102" i="15"/>
  <c r="C102" i="15" s="1"/>
  <c r="D102" i="15"/>
  <c r="G101" i="15"/>
  <c r="D101" i="15"/>
  <c r="C101" i="15"/>
  <c r="H100" i="15"/>
  <c r="H99" i="15"/>
  <c r="V99" i="15"/>
  <c r="F99" i="15" s="1"/>
  <c r="U99" i="15"/>
  <c r="T99" i="15"/>
  <c r="I99" i="15"/>
  <c r="G98" i="15"/>
  <c r="C98" i="15" s="1"/>
  <c r="D98" i="15"/>
  <c r="A98" i="15"/>
  <c r="A99" i="15" s="1"/>
  <c r="A100" i="15" s="1"/>
  <c r="A101" i="15" s="1"/>
  <c r="A102" i="15" s="1"/>
  <c r="G97" i="15"/>
  <c r="C97" i="15" s="1"/>
  <c r="D97" i="15"/>
  <c r="G96" i="15"/>
  <c r="C96" i="15" s="1"/>
  <c r="E96" i="15"/>
  <c r="D96" i="15"/>
  <c r="G95" i="15"/>
  <c r="C95" i="15" s="1"/>
  <c r="E95" i="15"/>
  <c r="D95" i="15"/>
  <c r="G94" i="15"/>
  <c r="C94" i="15" s="1"/>
  <c r="E94" i="15"/>
  <c r="D94" i="15"/>
  <c r="A94" i="15"/>
  <c r="A95" i="15" s="1"/>
  <c r="A96" i="15" s="1"/>
  <c r="G93" i="15"/>
  <c r="C93" i="15"/>
  <c r="E93" i="15"/>
  <c r="D93" i="15"/>
  <c r="G92" i="15"/>
  <c r="C92" i="15"/>
  <c r="E92" i="15"/>
  <c r="D92" i="15"/>
  <c r="G91" i="15"/>
  <c r="C91" i="15" s="1"/>
  <c r="E91" i="15"/>
  <c r="D91" i="15"/>
  <c r="G90" i="15"/>
  <c r="C90" i="15" s="1"/>
  <c r="D90" i="15"/>
  <c r="O89" i="15"/>
  <c r="G89" i="15"/>
  <c r="C89" i="15" s="1"/>
  <c r="F89" i="15"/>
  <c r="E89" i="15"/>
  <c r="D89" i="15"/>
  <c r="S88" i="15"/>
  <c r="O88" i="15"/>
  <c r="G88" i="15"/>
  <c r="C88" i="15" s="1"/>
  <c r="E88" i="15"/>
  <c r="D88" i="15"/>
  <c r="S87" i="15"/>
  <c r="O87" i="15"/>
  <c r="G87" i="15"/>
  <c r="E87" i="15"/>
  <c r="D87" i="15"/>
  <c r="A87" i="15"/>
  <c r="S86" i="15"/>
  <c r="O86" i="15"/>
  <c r="G86" i="15"/>
  <c r="E86" i="15"/>
  <c r="D86" i="15"/>
  <c r="S85" i="15"/>
  <c r="G85" i="15"/>
  <c r="E85" i="15"/>
  <c r="D85" i="15"/>
  <c r="S84" i="15"/>
  <c r="O84" i="15"/>
  <c r="G84" i="15"/>
  <c r="C84" i="15" s="1"/>
  <c r="E84" i="15"/>
  <c r="D84" i="15"/>
  <c r="A84" i="15"/>
  <c r="A85" i="15"/>
  <c r="S83" i="15"/>
  <c r="O83" i="15"/>
  <c r="G83" i="15"/>
  <c r="E83" i="15"/>
  <c r="D83" i="15"/>
  <c r="S82" i="15"/>
  <c r="O82" i="15"/>
  <c r="K82" i="15"/>
  <c r="G82" i="15"/>
  <c r="E82" i="15"/>
  <c r="D82" i="15"/>
  <c r="S81" i="15"/>
  <c r="O81" i="15"/>
  <c r="G81" i="15"/>
  <c r="E81" i="15"/>
  <c r="D81" i="15"/>
  <c r="S80" i="15"/>
  <c r="G80" i="15"/>
  <c r="E80" i="15"/>
  <c r="D80" i="15"/>
  <c r="S79" i="15"/>
  <c r="O79" i="15"/>
  <c r="G79" i="15"/>
  <c r="E79" i="15"/>
  <c r="D79" i="15"/>
  <c r="A79" i="15"/>
  <c r="A80" i="15" s="1"/>
  <c r="A81" i="15" s="1"/>
  <c r="A82" i="15" s="1"/>
  <c r="S78" i="15"/>
  <c r="G78" i="15"/>
  <c r="E78" i="15"/>
  <c r="D78" i="15"/>
  <c r="S77" i="15"/>
  <c r="O77" i="15"/>
  <c r="G77" i="15"/>
  <c r="E77" i="15"/>
  <c r="D77" i="15"/>
  <c r="S76" i="15"/>
  <c r="O76" i="15"/>
  <c r="G76" i="15"/>
  <c r="E76" i="15"/>
  <c r="D76" i="15"/>
  <c r="S75" i="15"/>
  <c r="O75" i="15"/>
  <c r="G75" i="15"/>
  <c r="E75" i="15"/>
  <c r="D75" i="15"/>
  <c r="S74" i="15"/>
  <c r="G74" i="15"/>
  <c r="E74" i="15"/>
  <c r="D74" i="15"/>
  <c r="S73" i="15"/>
  <c r="O73" i="15"/>
  <c r="G73" i="15"/>
  <c r="E73" i="15"/>
  <c r="D73" i="15"/>
  <c r="A73" i="15"/>
  <c r="A74" i="15" s="1"/>
  <c r="A75" i="15" s="1"/>
  <c r="A76" i="15" s="1"/>
  <c r="A77" i="15" s="1"/>
  <c r="S72" i="15"/>
  <c r="O72" i="15"/>
  <c r="E72" i="15"/>
  <c r="D72" i="15"/>
  <c r="S71" i="15"/>
  <c r="G71" i="15"/>
  <c r="C71" i="15" s="1"/>
  <c r="F71" i="15"/>
  <c r="E71" i="15"/>
  <c r="D71" i="15"/>
  <c r="S70" i="15"/>
  <c r="O70" i="15"/>
  <c r="G70" i="15"/>
  <c r="C70" i="15" s="1"/>
  <c r="F70" i="15"/>
  <c r="E70" i="15"/>
  <c r="D70" i="15"/>
  <c r="S69" i="15"/>
  <c r="O69" i="15"/>
  <c r="G69" i="15"/>
  <c r="E69" i="15"/>
  <c r="D69" i="15"/>
  <c r="O68" i="15"/>
  <c r="K68" i="15"/>
  <c r="E68" i="15"/>
  <c r="D68" i="15"/>
  <c r="S67" i="15"/>
  <c r="O67" i="15"/>
  <c r="E67" i="15"/>
  <c r="D67" i="15"/>
  <c r="A67" i="15"/>
  <c r="S66" i="15"/>
  <c r="O66" i="15"/>
  <c r="G66" i="15"/>
  <c r="E66" i="15"/>
  <c r="D66" i="15"/>
  <c r="S65" i="15"/>
  <c r="O65" i="15"/>
  <c r="G65" i="15"/>
  <c r="E65" i="15"/>
  <c r="D65" i="15"/>
  <c r="S64" i="15"/>
  <c r="O64" i="15"/>
  <c r="G64" i="15"/>
  <c r="E64" i="15"/>
  <c r="D64" i="15"/>
  <c r="A64" i="15"/>
  <c r="A65" i="15" s="1"/>
  <c r="S63" i="15"/>
  <c r="O63" i="15"/>
  <c r="G63" i="15"/>
  <c r="C63" i="15" s="1"/>
  <c r="E63" i="15"/>
  <c r="D63" i="15"/>
  <c r="O62" i="15"/>
  <c r="G62" i="15"/>
  <c r="C62" i="15" s="1"/>
  <c r="E62" i="15"/>
  <c r="D62" i="15"/>
  <c r="O61" i="15"/>
  <c r="G61" i="15"/>
  <c r="E61" i="15"/>
  <c r="D61" i="15"/>
  <c r="S60" i="15"/>
  <c r="O60" i="15"/>
  <c r="G60" i="15"/>
  <c r="E60" i="15"/>
  <c r="D60" i="15"/>
  <c r="S59" i="15"/>
  <c r="O59" i="15"/>
  <c r="G59" i="15"/>
  <c r="E59" i="15"/>
  <c r="D59" i="15"/>
  <c r="S58" i="15"/>
  <c r="O58" i="15"/>
  <c r="G58" i="15"/>
  <c r="E58" i="15"/>
  <c r="D58" i="15"/>
  <c r="S57" i="15"/>
  <c r="O57" i="15"/>
  <c r="G57" i="15"/>
  <c r="E57" i="15"/>
  <c r="D57" i="15"/>
  <c r="S56" i="15"/>
  <c r="O56" i="15"/>
  <c r="G56" i="15"/>
  <c r="C56" i="15" s="1"/>
  <c r="E56" i="15"/>
  <c r="D56" i="15"/>
  <c r="A56" i="15"/>
  <c r="A57" i="15"/>
  <c r="A58" i="15" s="1"/>
  <c r="A59" i="15" s="1"/>
  <c r="A60" i="15" s="1"/>
  <c r="A61" i="15" s="1"/>
  <c r="A62" i="15" s="1"/>
  <c r="S55" i="15"/>
  <c r="O55" i="15"/>
  <c r="G55" i="15"/>
  <c r="C55" i="15" s="1"/>
  <c r="E55" i="15"/>
  <c r="D55" i="15"/>
  <c r="G54" i="15"/>
  <c r="C54" i="15" s="1"/>
  <c r="D54" i="15"/>
  <c r="G53" i="15"/>
  <c r="C53" i="15" s="1"/>
  <c r="E53" i="15"/>
  <c r="D53" i="15"/>
  <c r="O52" i="15"/>
  <c r="G52" i="15"/>
  <c r="E52" i="15"/>
  <c r="D52" i="15"/>
  <c r="G51" i="15"/>
  <c r="C51" i="15" s="1"/>
  <c r="D51" i="15"/>
  <c r="G50" i="15"/>
  <c r="D50" i="15"/>
  <c r="C50" i="15"/>
  <c r="A50" i="15"/>
  <c r="G49" i="15"/>
  <c r="D49" i="15"/>
  <c r="C49" i="15"/>
  <c r="G48" i="15"/>
  <c r="C48" i="15"/>
  <c r="D48" i="15"/>
  <c r="K47" i="15"/>
  <c r="C47" i="15" s="1"/>
  <c r="D47" i="15"/>
  <c r="O46" i="15"/>
  <c r="D46" i="15" s="1"/>
  <c r="C46" i="15" s="1"/>
  <c r="E46" i="15"/>
  <c r="Q45" i="15"/>
  <c r="Q44" i="15" s="1"/>
  <c r="Q208" i="15" s="1"/>
  <c r="P45" i="15"/>
  <c r="P44" i="15"/>
  <c r="P208" i="15" s="1"/>
  <c r="O45" i="15"/>
  <c r="L45" i="15"/>
  <c r="L44" i="15" s="1"/>
  <c r="I45" i="15"/>
  <c r="H45" i="15"/>
  <c r="A45" i="15"/>
  <c r="V44" i="15"/>
  <c r="V208" i="15" s="1"/>
  <c r="U44" i="15"/>
  <c r="T44" i="15"/>
  <c r="M44" i="15"/>
  <c r="J44" i="15"/>
  <c r="F44" i="15" s="1"/>
  <c r="I44" i="15"/>
  <c r="S43" i="15"/>
  <c r="K43" i="15"/>
  <c r="G43" i="15"/>
  <c r="E43" i="15"/>
  <c r="D43" i="15"/>
  <c r="S42" i="15"/>
  <c r="K42" i="15"/>
  <c r="G42" i="15"/>
  <c r="E42" i="15"/>
  <c r="D42" i="15"/>
  <c r="S41" i="15"/>
  <c r="K41" i="15"/>
  <c r="G41" i="15"/>
  <c r="C41" i="15" s="1"/>
  <c r="E41" i="15"/>
  <c r="D41" i="15"/>
  <c r="S40" i="15"/>
  <c r="K40" i="15"/>
  <c r="G40" i="15"/>
  <c r="E40" i="15"/>
  <c r="D40" i="15"/>
  <c r="S39" i="15"/>
  <c r="K39" i="15"/>
  <c r="G39" i="15"/>
  <c r="E39" i="15"/>
  <c r="D39" i="15"/>
  <c r="S38" i="15"/>
  <c r="K38" i="15"/>
  <c r="G38" i="15"/>
  <c r="E38" i="15"/>
  <c r="D38" i="15"/>
  <c r="S37" i="15"/>
  <c r="K37" i="15"/>
  <c r="G37" i="15"/>
  <c r="C37" i="15" s="1"/>
  <c r="E37" i="15"/>
  <c r="D37" i="15"/>
  <c r="S36" i="15"/>
  <c r="K36" i="15"/>
  <c r="G36" i="15"/>
  <c r="E36" i="15"/>
  <c r="D36" i="15"/>
  <c r="S35" i="15"/>
  <c r="K35" i="15"/>
  <c r="G35" i="15"/>
  <c r="E35" i="15"/>
  <c r="D35" i="15"/>
  <c r="A35" i="15"/>
  <c r="A36" i="15" s="1"/>
  <c r="A37" i="15" s="1"/>
  <c r="A38" i="15" s="1"/>
  <c r="A39" i="15" s="1"/>
  <c r="A40" i="15" s="1"/>
  <c r="A41" i="15" s="1"/>
  <c r="A42" i="15" s="1"/>
  <c r="A43" i="15" s="1"/>
  <c r="S34" i="15"/>
  <c r="K34" i="15"/>
  <c r="G34" i="15"/>
  <c r="E34" i="15"/>
  <c r="D34" i="15"/>
  <c r="K33" i="15"/>
  <c r="G33" i="15"/>
  <c r="E33" i="15"/>
  <c r="D33" i="15"/>
  <c r="G32" i="15"/>
  <c r="C32" i="15" s="1"/>
  <c r="D32" i="15"/>
  <c r="H31" i="15"/>
  <c r="D31" i="15" s="1"/>
  <c r="G30" i="15"/>
  <c r="C30" i="15"/>
  <c r="D30" i="15"/>
  <c r="G29" i="15"/>
  <c r="G28" i="15" s="1"/>
  <c r="C28" i="15" s="1"/>
  <c r="D29" i="15"/>
  <c r="H28" i="15"/>
  <c r="D28" i="15" s="1"/>
  <c r="A28" i="15"/>
  <c r="A29" i="15" s="1"/>
  <c r="A30" i="15" s="1"/>
  <c r="A31" i="15" s="1"/>
  <c r="A32" i="15" s="1"/>
  <c r="G27" i="15"/>
  <c r="D27" i="15"/>
  <c r="C27" i="15"/>
  <c r="G26" i="15"/>
  <c r="C26" i="15" s="1"/>
  <c r="D26" i="15"/>
  <c r="H25" i="15"/>
  <c r="D25" i="15" s="1"/>
  <c r="G24" i="15"/>
  <c r="C24" i="15" s="1"/>
  <c r="E24" i="15"/>
  <c r="D24" i="15"/>
  <c r="I23" i="15"/>
  <c r="E23" i="15" s="1"/>
  <c r="H23" i="15"/>
  <c r="S22" i="15"/>
  <c r="D22" i="15"/>
  <c r="C22" i="15"/>
  <c r="G21" i="15"/>
  <c r="C21" i="15" s="1"/>
  <c r="D21" i="15"/>
  <c r="T20" i="15"/>
  <c r="T9" i="15" s="1"/>
  <c r="S20" i="15"/>
  <c r="H20" i="15"/>
  <c r="G20" i="15" s="1"/>
  <c r="C20" i="15" s="1"/>
  <c r="K19" i="15"/>
  <c r="D19" i="15"/>
  <c r="L18" i="15"/>
  <c r="D18" i="15" s="1"/>
  <c r="G17" i="15"/>
  <c r="C17" i="15"/>
  <c r="E17" i="15"/>
  <c r="D17" i="15"/>
  <c r="G16" i="15"/>
  <c r="C16" i="15" s="1"/>
  <c r="D16" i="15"/>
  <c r="A16" i="15"/>
  <c r="G15" i="15"/>
  <c r="C15" i="15" s="1"/>
  <c r="D15" i="15"/>
  <c r="K14" i="15"/>
  <c r="K13" i="15" s="1"/>
  <c r="G14" i="15"/>
  <c r="F14" i="15"/>
  <c r="F13" i="15" s="1"/>
  <c r="E14" i="15"/>
  <c r="E13" i="15" s="1"/>
  <c r="D14" i="15"/>
  <c r="A14" i="15"/>
  <c r="M13" i="15"/>
  <c r="M9" i="15" s="1"/>
  <c r="L13" i="15"/>
  <c r="J13" i="15"/>
  <c r="J9" i="15" s="1"/>
  <c r="I13" i="15"/>
  <c r="H13" i="15"/>
  <c r="G12" i="15"/>
  <c r="C12" i="15" s="1"/>
  <c r="E12" i="15"/>
  <c r="D12" i="15"/>
  <c r="G11" i="15"/>
  <c r="C11" i="15" s="1"/>
  <c r="E11" i="15"/>
  <c r="D11" i="15"/>
  <c r="I10" i="15"/>
  <c r="E10" i="15" s="1"/>
  <c r="H10" i="15"/>
  <c r="D10" i="15" s="1"/>
  <c r="U9" i="15"/>
  <c r="T208" i="15"/>
  <c r="J19" i="14"/>
  <c r="F177" i="15"/>
  <c r="C139" i="15"/>
  <c r="E99" i="15"/>
  <c r="C74" i="15"/>
  <c r="K45" i="15"/>
  <c r="K44" i="15" s="1"/>
  <c r="C73" i="15"/>
  <c r="D206" i="15"/>
  <c r="D203" i="15"/>
  <c r="C202" i="15"/>
  <c r="D198" i="15"/>
  <c r="C186" i="15"/>
  <c r="H175" i="15"/>
  <c r="N176" i="15"/>
  <c r="N175" i="15" s="1"/>
  <c r="N208" i="15" s="1"/>
  <c r="L175" i="15"/>
  <c r="G176" i="15"/>
  <c r="D176" i="15"/>
  <c r="C166" i="15"/>
  <c r="G170" i="15"/>
  <c r="C170" i="15" s="1"/>
  <c r="H140" i="15"/>
  <c r="C127" i="15"/>
  <c r="D100" i="15"/>
  <c r="C57" i="15"/>
  <c r="C83" i="15"/>
  <c r="G45" i="15"/>
  <c r="C36" i="15"/>
  <c r="C34" i="15"/>
  <c r="H9" i="15"/>
  <c r="C29" i="15"/>
  <c r="C143" i="15"/>
  <c r="L9" i="15"/>
  <c r="K141" i="15"/>
  <c r="K140" i="15" s="1"/>
  <c r="H197" i="15"/>
  <c r="C39" i="15"/>
  <c r="C199" i="15"/>
  <c r="J140" i="15"/>
  <c r="G197" i="15"/>
  <c r="G13" i="15"/>
  <c r="S9" i="15"/>
  <c r="S175" i="15"/>
  <c r="K197" i="15"/>
  <c r="D197" i="15"/>
  <c r="F140" i="15"/>
  <c r="E140" i="15" l="1"/>
  <c r="G10" i="15"/>
  <c r="C10" i="15" s="1"/>
  <c r="C177" i="15"/>
  <c r="M208" i="15"/>
  <c r="D20" i="15"/>
  <c r="C75" i="15"/>
  <c r="C13" i="15"/>
  <c r="C14" i="15"/>
  <c r="C43" i="15"/>
  <c r="C52" i="15"/>
  <c r="C59" i="15"/>
  <c r="C68" i="15"/>
  <c r="C80" i="15"/>
  <c r="C131" i="15"/>
  <c r="C189" i="15"/>
  <c r="K200" i="15"/>
  <c r="C200" i="15" s="1"/>
  <c r="D13" i="15"/>
  <c r="C33" i="15"/>
  <c r="C66" i="15"/>
  <c r="C76" i="15"/>
  <c r="C82" i="15"/>
  <c r="D99" i="15"/>
  <c r="G23" i="15"/>
  <c r="C23" i="15" s="1"/>
  <c r="D23" i="15"/>
  <c r="C77" i="15"/>
  <c r="C38" i="15"/>
  <c r="C40" i="15"/>
  <c r="C58" i="15"/>
  <c r="C65" i="15"/>
  <c r="C81" i="15"/>
  <c r="S140" i="15"/>
  <c r="G25" i="15"/>
  <c r="C25" i="15" s="1"/>
  <c r="C42" i="15"/>
  <c r="U208" i="15"/>
  <c r="E45" i="15"/>
  <c r="C60" i="15"/>
  <c r="C61" i="15"/>
  <c r="C64" i="15"/>
  <c r="C67" i="15"/>
  <c r="C69" i="15"/>
  <c r="C72" i="15"/>
  <c r="C78" i="15"/>
  <c r="C79" i="15"/>
  <c r="C85" i="15"/>
  <c r="C86" i="15"/>
  <c r="C87" i="15"/>
  <c r="C111" i="15"/>
  <c r="C122" i="15"/>
  <c r="C123" i="15"/>
  <c r="C128" i="15"/>
  <c r="D141" i="15"/>
  <c r="C174" i="15"/>
  <c r="M191" i="14"/>
  <c r="J191" i="14"/>
  <c r="O44" i="15"/>
  <c r="O208" i="15" s="1"/>
  <c r="C105" i="15"/>
  <c r="G100" i="15"/>
  <c r="C134" i="15"/>
  <c r="G133" i="15"/>
  <c r="C133" i="15" s="1"/>
  <c r="D9" i="15"/>
  <c r="S44" i="15"/>
  <c r="J208" i="15"/>
  <c r="F208" i="15" s="1"/>
  <c r="C45" i="15"/>
  <c r="G44" i="15"/>
  <c r="C44" i="15" s="1"/>
  <c r="K18" i="15"/>
  <c r="C18" i="15" s="1"/>
  <c r="C19" i="15"/>
  <c r="I9" i="15"/>
  <c r="C35" i="15"/>
  <c r="H44" i="15"/>
  <c r="D44" i="15" s="1"/>
  <c r="D45" i="15"/>
  <c r="G141" i="15"/>
  <c r="D175" i="15"/>
  <c r="E175" i="15"/>
  <c r="C197" i="15"/>
  <c r="G135" i="15"/>
  <c r="C135" i="15" s="1"/>
  <c r="G175" i="15"/>
  <c r="K176" i="15"/>
  <c r="K175" i="15" s="1"/>
  <c r="F176" i="15"/>
  <c r="F175" i="15" s="1"/>
  <c r="F9" i="15"/>
  <c r="K9" i="15"/>
  <c r="K208" i="15" s="1"/>
  <c r="G31" i="15"/>
  <c r="E44" i="15"/>
  <c r="S99" i="15"/>
  <c r="C138" i="15"/>
  <c r="L140" i="15"/>
  <c r="D200" i="15"/>
  <c r="N191" i="14"/>
  <c r="I191" i="14" l="1"/>
  <c r="E158" i="14"/>
  <c r="S208" i="15"/>
  <c r="C176" i="15"/>
  <c r="C175" i="15" s="1"/>
  <c r="H208" i="15"/>
  <c r="H191" i="14"/>
  <c r="F191" i="14" s="1"/>
  <c r="D140" i="15"/>
  <c r="L208" i="15"/>
  <c r="D208" i="15" s="1"/>
  <c r="C31" i="15"/>
  <c r="G9" i="15"/>
  <c r="G140" i="15"/>
  <c r="C140" i="15" s="1"/>
  <c r="C141" i="15"/>
  <c r="I208" i="15"/>
  <c r="E208" i="15" s="1"/>
  <c r="E9" i="15"/>
  <c r="C100" i="15"/>
  <c r="G99" i="15"/>
  <c r="C99" i="15" s="1"/>
  <c r="C9" i="15" l="1"/>
  <c r="G208" i="15"/>
  <c r="C208" i="15" s="1"/>
  <c r="G191" i="14" l="1"/>
  <c r="E191" i="14" s="1"/>
</calcChain>
</file>

<file path=xl/sharedStrings.xml><?xml version="1.0" encoding="utf-8"?>
<sst xmlns="http://schemas.openxmlformats.org/spreadsheetml/2006/main" count="1478" uniqueCount="847">
  <si>
    <t>Eil.Nr.</t>
  </si>
  <si>
    <t>Priešgaisrinė tarnyba</t>
  </si>
  <si>
    <t>Socialinė parama mokiniams</t>
  </si>
  <si>
    <t>Kultūros centras</t>
  </si>
  <si>
    <t>Krašto muziejus</t>
  </si>
  <si>
    <t>Kūno kultūros ir sporto centras</t>
  </si>
  <si>
    <t>Visuomenės sveikatos biuras</t>
  </si>
  <si>
    <t>Juodupės seniūnija</t>
  </si>
  <si>
    <t>Jūžintų seniūnija</t>
  </si>
  <si>
    <t>Kamajų seniūnija</t>
  </si>
  <si>
    <t>Kazliškio seniūnija</t>
  </si>
  <si>
    <t>Kriaunų seniūnija</t>
  </si>
  <si>
    <t>Obelių seniūnija</t>
  </si>
  <si>
    <t>Pandėlio seniūnija</t>
  </si>
  <si>
    <t>Panemunėlio seniūnija</t>
  </si>
  <si>
    <t>Rokiškio kaim. seniūnija</t>
  </si>
  <si>
    <t>Rokiškio miesto seniūnija</t>
  </si>
  <si>
    <t>Juodupės l/d</t>
  </si>
  <si>
    <t>Senamiesčio progimnazija</t>
  </si>
  <si>
    <t>J.Tumo-Vaižganto gimnazija</t>
  </si>
  <si>
    <t>Juodupės gimnazija</t>
  </si>
  <si>
    <t>Kamajų A.Strazdo gimnazija</t>
  </si>
  <si>
    <t>Obelių gimnazija</t>
  </si>
  <si>
    <t>Švietimo centras</t>
  </si>
  <si>
    <t>Pedagoginė psichologinė tarnyba</t>
  </si>
  <si>
    <t xml:space="preserve">Rokiškio rajono savivaldybės tarybos </t>
  </si>
  <si>
    <t>Administracija</t>
  </si>
  <si>
    <t>Socialinės paramos centras</t>
  </si>
  <si>
    <t>Rokiškio kaimiškoji seniūnija</t>
  </si>
  <si>
    <t>L/d Nykštukas</t>
  </si>
  <si>
    <t>L/d Pumpurėlis</t>
  </si>
  <si>
    <t>Kriaunų pagrindinė m-kla</t>
  </si>
  <si>
    <t>Choreografijos mokykla</t>
  </si>
  <si>
    <t>Turizmo ir tradicinių amatų informacijos ir koordinavimo centras</t>
  </si>
  <si>
    <t>Rokiškio pagrindinė mokykla</t>
  </si>
  <si>
    <t>6 priedas</t>
  </si>
  <si>
    <t>Turto valdymo ir viešųjų pirkimų skyrius</t>
  </si>
  <si>
    <t>L/d Varpelis</t>
  </si>
  <si>
    <t>Suaugusiųjų ir jaunimo mokymo centras</t>
  </si>
  <si>
    <t>IŠ VISO:</t>
  </si>
  <si>
    <t xml:space="preserve">                                                                                      ROKIŠKIO RAJONO SAVIVALDYBĖS 2016 METŲ BIUDŽETAS</t>
  </si>
  <si>
    <t>4 priedas</t>
  </si>
  <si>
    <t>Programos/asignavimų valdytojo pavadinimas</t>
  </si>
  <si>
    <t>Iš viso</t>
  </si>
  <si>
    <t>iš jų:</t>
  </si>
  <si>
    <t>Iš viso SF*</t>
  </si>
  <si>
    <t>Iš viso MK*</t>
  </si>
  <si>
    <t>Iš viso SP PR*</t>
  </si>
  <si>
    <t>išlaidoms</t>
  </si>
  <si>
    <t>turtui įsigyti</t>
  </si>
  <si>
    <t>iš jų: darbo užmokesčiui</t>
  </si>
  <si>
    <t>Savivaldybės taryba</t>
  </si>
  <si>
    <t>Mero ir vicemero darbo apmokėjimas</t>
  </si>
  <si>
    <t>Tarybos narių darbo apmokėjimas</t>
  </si>
  <si>
    <t>Savivaldybės kitos išlaidos</t>
  </si>
  <si>
    <t>Darbo politikos formavimas ir įgyvendinimas</t>
  </si>
  <si>
    <t xml:space="preserve">Kontrolės ir audito tarnyba </t>
  </si>
  <si>
    <t>Socialinė parama</t>
  </si>
  <si>
    <t>Slauga pagal socialines indikacijas</t>
  </si>
  <si>
    <t>Parapijos senelių namų finansavimas</t>
  </si>
  <si>
    <t>Būsto pritaikymas neįgaliesiems</t>
  </si>
  <si>
    <t>Socialinės paramos mokiniams administravimas</t>
  </si>
  <si>
    <t>Asmenų su sunkia negalia socialinė globa</t>
  </si>
  <si>
    <t>Kompensacijos už šildymą ir vandenį</t>
  </si>
  <si>
    <t>VšĮ Rokiškio PASPC moterų konsultacijos kabinetų įrangai</t>
  </si>
  <si>
    <t>Tarptautinis bendradarbiavimas</t>
  </si>
  <si>
    <t>Nevyriausybinių organizac. projektų finansavimas</t>
  </si>
  <si>
    <t>Nekilnojamo turto įregistravimas</t>
  </si>
  <si>
    <t>Nuostolingų maršrutų išlaidų kompensavimas</t>
  </si>
  <si>
    <t>Kompensacijos už liftų naudojimą</t>
  </si>
  <si>
    <t>Nekilnojamo turto nuomos specialioji programa</t>
  </si>
  <si>
    <t>Kapitalo investicijos ir ilgalaikio turto remontas</t>
  </si>
  <si>
    <t>Subsidijos gamintojams už šiluminę energiją</t>
  </si>
  <si>
    <t>Europos ir kitų fondų projektams dalinai finansuoti</t>
  </si>
  <si>
    <t>Investiciniams projektams, galimybių studijoms ir kitiems dokumentams rengti</t>
  </si>
  <si>
    <t>Smulkaus ir vidutinio verslo plėtros programa</t>
  </si>
  <si>
    <t>Architektūros ir  paveldosaugos skyrius  iš viso</t>
  </si>
  <si>
    <t>Laisvės kovų įamžinimo komisijos veikla</t>
  </si>
  <si>
    <t>Aplinkos apsaugos rėmimo specialioji programa</t>
  </si>
  <si>
    <t>Vaikų ir jaunimo socializacijos programa</t>
  </si>
  <si>
    <t>Neformaliojo vaikų švietimo programoms</t>
  </si>
  <si>
    <t>Suaugusiųjų neformalaus ugdymo programoms</t>
  </si>
  <si>
    <t>Maisto atliekų utilizavimui</t>
  </si>
  <si>
    <t>Mokinių pavėžėjimui tėvų (globėjų) nuosavu transportu</t>
  </si>
  <si>
    <t>Pedagoginė grupė</t>
  </si>
  <si>
    <t>iš to sk.: L.Šepkos konkurso premijoms</t>
  </si>
  <si>
    <t xml:space="preserve">             Tyzenhauzų paveldo tyrimams</t>
  </si>
  <si>
    <t xml:space="preserve">Kūno kultūros ir sporto centras  </t>
  </si>
  <si>
    <t xml:space="preserve">              Europos paplūdimio tinklinio turnyrui</t>
  </si>
  <si>
    <t xml:space="preserve">              Lietuvos automobilių Ralio čempionato 4 etapo varžyboms</t>
  </si>
  <si>
    <t xml:space="preserve">Pandėlio seniūnija                     </t>
  </si>
  <si>
    <t>M/d Ąžuoliukas</t>
  </si>
  <si>
    <t>Obelių l/d</t>
  </si>
  <si>
    <t>Kavoliškio m/d</t>
  </si>
  <si>
    <t>Pandėlio prad.m-kla</t>
  </si>
  <si>
    <t>Senamiesčio progimnazijos Laibgalių sk.</t>
  </si>
  <si>
    <t>VŠĮ Rokiškio psich. ligon. sk.</t>
  </si>
  <si>
    <t>Panemunėlio pagrindinė m-kla</t>
  </si>
  <si>
    <t>Juozo Tūbelio progimnazija</t>
  </si>
  <si>
    <t>Juodupės gimn. neformaliojo švietimo sk.</t>
  </si>
  <si>
    <t>Jūžintų J.O.Širvydo pagrindinė m-kla</t>
  </si>
  <si>
    <t>Kamajų gimn. neformaliojo švietimo sk.</t>
  </si>
  <si>
    <t>Obelių gimn. neformaliojo švietimo sk.</t>
  </si>
  <si>
    <t xml:space="preserve">Pandėlio gimnazija </t>
  </si>
  <si>
    <t>Rudolfo Lymano muzikos mokykla</t>
  </si>
  <si>
    <t>Pandėlio universalus daugiafunkcis centras</t>
  </si>
  <si>
    <r>
      <t xml:space="preserve">SF* - </t>
    </r>
    <r>
      <rPr>
        <sz val="10"/>
        <rFont val="Arial"/>
        <family val="2"/>
        <charset val="186"/>
      </rPr>
      <t>savarankiška funkcija</t>
    </r>
  </si>
  <si>
    <r>
      <t xml:space="preserve">SP PR* - </t>
    </r>
    <r>
      <rPr>
        <sz val="10"/>
        <rFont val="Arial"/>
        <family val="2"/>
        <charset val="186"/>
      </rPr>
      <t>specialioji programa</t>
    </r>
  </si>
  <si>
    <t>ASIGNAVIMAI  PAGAL PROGRAMAS</t>
  </si>
  <si>
    <t>5 priedas</t>
  </si>
  <si>
    <t>tūkst.eurų</t>
  </si>
  <si>
    <t>SAVIVALDYBĖS FUNKCIJŲ ĮGYVENDINIMAS IR VALDYMAS (01)</t>
  </si>
  <si>
    <t>Savivaldybės administracija</t>
  </si>
  <si>
    <t xml:space="preserve">   administracija</t>
  </si>
  <si>
    <t xml:space="preserve">   administracijos direktoriaus rezervas</t>
  </si>
  <si>
    <t xml:space="preserve">   savivaldybės kitos išlaidos</t>
  </si>
  <si>
    <t>Kontrolės ir audito tarnyba</t>
  </si>
  <si>
    <t>Socialinės paramos ir sveikatos skyrius</t>
  </si>
  <si>
    <t xml:space="preserve">  socialinės paramos mokiniams administravimas</t>
  </si>
  <si>
    <t xml:space="preserve">   nekilnojamojo turto įregistravimas</t>
  </si>
  <si>
    <t xml:space="preserve">   nekilnojamo turto nuomos specialioji programa</t>
  </si>
  <si>
    <t>Statybos ir  infrastruktūros skyrius</t>
  </si>
  <si>
    <t xml:space="preserve">   projektų administravimas</t>
  </si>
  <si>
    <t>Strateginio planavimo ir investicijų skyrius</t>
  </si>
  <si>
    <t xml:space="preserve">  Europos ir kitų fondų projektams dalinai finansuoti</t>
  </si>
  <si>
    <t xml:space="preserve">  invest.projektams,galimybių studijoms ir kitiems dokumentams rengti</t>
  </si>
  <si>
    <t>Architektūros ir paveldosaugos skyrius</t>
  </si>
  <si>
    <r>
      <t xml:space="preserve">  </t>
    </r>
    <r>
      <rPr>
        <i/>
        <sz val="9"/>
        <rFont val="Arial"/>
        <family val="2"/>
        <charset val="186"/>
      </rPr>
      <t>paveldosaugos komisijos veiklos programa</t>
    </r>
  </si>
  <si>
    <t xml:space="preserve">  laisvės kovų įamžinimo komisijos veikla</t>
  </si>
  <si>
    <t>Finansų skyrius</t>
  </si>
  <si>
    <r>
      <t xml:space="preserve">   paskolų aptarnavimas</t>
    </r>
    <r>
      <rPr>
        <sz val="10"/>
        <rFont val="Arial"/>
        <family val="2"/>
        <charset val="186"/>
      </rPr>
      <t xml:space="preserve"> </t>
    </r>
  </si>
  <si>
    <t>UGDYMO KOKYBĖS IR MOKYMOSI APLINKOS UŽTIKRINIMAS (02)</t>
  </si>
  <si>
    <t>Švietimo skyrius</t>
  </si>
  <si>
    <t xml:space="preserve">  brandos egzaminams organizuoti ir vykdyti</t>
  </si>
  <si>
    <t xml:space="preserve">  neformaliojo vaikų švietimo programoms</t>
  </si>
  <si>
    <t xml:space="preserve">  suaugusiųjų neformalaus ugdymo programoms</t>
  </si>
  <si>
    <t xml:space="preserve">  pedagoginė grupė</t>
  </si>
  <si>
    <t xml:space="preserve">  lengvatinio moksleivių pervež. išlaidų kompensav.</t>
  </si>
  <si>
    <t xml:space="preserve">  maisto atliekų utilizavimui</t>
  </si>
  <si>
    <t xml:space="preserve">  VŠĮ Rokiškio jaunimo centras</t>
  </si>
  <si>
    <t xml:space="preserve">  VŠĮ Rokiškio jaunimo centras Žiobiškio sk.</t>
  </si>
  <si>
    <t>mokinių pavėžėjimui tėvų (globėjų) nuosavu transportu</t>
  </si>
  <si>
    <t>Pandėlio prad.m-klos Kazliškio skyrius</t>
  </si>
  <si>
    <t>J. Tumo - Vaižganto gimnazijos bendrabutis</t>
  </si>
  <si>
    <t>Juodupės gimn.neformaliojo švietimo sk.</t>
  </si>
  <si>
    <t>Kamajų A.Strazdo gim. ikimokyklinio ug.sk.</t>
  </si>
  <si>
    <t>Kamajų gimn. neformaliojo švietimo skyrius</t>
  </si>
  <si>
    <t>Obelių gimnaz. neformaliojo švietimo sk.</t>
  </si>
  <si>
    <t>Pedagogonė psichologinė tarnyba</t>
  </si>
  <si>
    <t>Panemunėlio universalus daugiafunkcis centras</t>
  </si>
  <si>
    <t xml:space="preserve"> iš to sk.: ledo arenos šaldymui</t>
  </si>
  <si>
    <t>KULTŪROS,SPPORTO,BENDRUOME-    NĖS IR VAIKŲ IR JAUNIMO GYVENIMO AKTYVINIMO PROGRAMA (03)</t>
  </si>
  <si>
    <t>Kultūros,turizmo ir ryšių su užsienio šalimis skyrius</t>
  </si>
  <si>
    <t xml:space="preserve">  tarptautinis bendradarbiavimas</t>
  </si>
  <si>
    <t xml:space="preserve">  rajono renginių programa</t>
  </si>
  <si>
    <t xml:space="preserve">  nevyriausybinių organizacijų projektų finansavimas</t>
  </si>
  <si>
    <t xml:space="preserve">   iš to sk.: jaunimo org.projektų finansavimas</t>
  </si>
  <si>
    <t xml:space="preserve">                  sporto organizacijų projektų finansavimas</t>
  </si>
  <si>
    <t xml:space="preserve">  leidyba</t>
  </si>
  <si>
    <t xml:space="preserve">  talentingų žmonių rėmimui</t>
  </si>
  <si>
    <t xml:space="preserve">  kaimo materialinės bazės stiprinimui</t>
  </si>
  <si>
    <t xml:space="preserve">  pasiruošimas 2018 m. dainų šventei</t>
  </si>
  <si>
    <t xml:space="preserve">  Rotary klubui projektui</t>
  </si>
  <si>
    <t xml:space="preserve"> iš to sk.: festivaliui ,,Vaidiname žemdirbiams"</t>
  </si>
  <si>
    <t xml:space="preserve">               projektui ,,Lietuvos kultūros sostinė"</t>
  </si>
  <si>
    <t>J.Keliuočio Viešoji biblioteka</t>
  </si>
  <si>
    <t>iš to sk.: Baltijos galiūnų čempionatui</t>
  </si>
  <si>
    <t>Vaiko teisių apsaugos skyrius</t>
  </si>
  <si>
    <r>
      <t xml:space="preserve"> </t>
    </r>
    <r>
      <rPr>
        <i/>
        <sz val="10"/>
        <rFont val="Arial"/>
        <family val="2"/>
        <charset val="186"/>
      </rPr>
      <t xml:space="preserve"> vaikų dienos centrų dalinis finansavimas</t>
    </r>
  </si>
  <si>
    <t xml:space="preserve">  vaikų ir jaunimo socializacija</t>
  </si>
  <si>
    <r>
      <t xml:space="preserve">  </t>
    </r>
    <r>
      <rPr>
        <i/>
        <sz val="9"/>
        <rFont val="Arial"/>
        <family val="2"/>
        <charset val="186"/>
      </rPr>
      <t>nusikalstamų veikų prevencijos ir kontrolės progr.</t>
    </r>
  </si>
  <si>
    <t xml:space="preserve">SOCIALINĖS PARAMOS IR SVEIKATOS APSAUGOS PASLAUGŲ KOKYBĖS GERINIMAS (04)                 </t>
  </si>
  <si>
    <t xml:space="preserve">  socialinė parama</t>
  </si>
  <si>
    <t xml:space="preserve">  slauga pagal socialines indikacijas</t>
  </si>
  <si>
    <t xml:space="preserve">  parapijos senelių namų finansavimas</t>
  </si>
  <si>
    <t xml:space="preserve">  būsto pritaikymas neįgaliesiems</t>
  </si>
  <si>
    <t xml:space="preserve">  asmenų patalpinimas į stacionarias globos įstaigas</t>
  </si>
  <si>
    <t xml:space="preserve">  socialinė parama mokiniams</t>
  </si>
  <si>
    <t xml:space="preserve">  asmenų su sunkia negalia socialinė globa</t>
  </si>
  <si>
    <t xml:space="preserve">  lėšos socialinėms paslaugoms</t>
  </si>
  <si>
    <t xml:space="preserve">  kompensacijos už šildymą ir vandenį</t>
  </si>
  <si>
    <t xml:space="preserve">  Socialinės reabilitacijos paslaugų neįgaliesiems bendruomenėje projektams finansuoti</t>
  </si>
  <si>
    <t xml:space="preserve">  neveiksnių asmenų būklės peržiūrėjimas</t>
  </si>
  <si>
    <t xml:space="preserve">  VšĮ Rokiškio rajono ligoninės dalininko kapitalui didinti (lizingas)</t>
  </si>
  <si>
    <t xml:space="preserve">  Gydytojų rezidentūros studijų kompensavimas</t>
  </si>
  <si>
    <t xml:space="preserve">  Vystomoji bendradarbiavimo veikla</t>
  </si>
  <si>
    <t xml:space="preserve">   darbo politikos formavavimas ir įgyvendinimas</t>
  </si>
  <si>
    <t xml:space="preserve">   lengvatinio keleivių pervežimo išlaidų kompensav.</t>
  </si>
  <si>
    <t xml:space="preserve">   kompensacijos už liftų naudojimą</t>
  </si>
  <si>
    <r>
      <t xml:space="preserve"> </t>
    </r>
    <r>
      <rPr>
        <sz val="10"/>
        <rFont val="Arial"/>
        <family val="2"/>
        <charset val="186"/>
      </rPr>
      <t xml:space="preserve"> </t>
    </r>
    <r>
      <rPr>
        <i/>
        <sz val="10"/>
        <rFont val="Arial"/>
        <family val="2"/>
        <charset val="186"/>
      </rPr>
      <t xml:space="preserve">iš to sk.: </t>
    </r>
    <r>
      <rPr>
        <i/>
        <sz val="10"/>
        <rFont val="Arial"/>
        <family val="2"/>
        <charset val="186"/>
      </rPr>
      <t>sveikatos priežiūra mokyklose</t>
    </r>
  </si>
  <si>
    <t>RAJONO INFRASTRUKTŪROS OBJEKTŲ PRIEŽIŪRA,PLĖTRA IR MODERNIZAVIMAS (05)</t>
  </si>
  <si>
    <t xml:space="preserve">   kapitalo investicijos ir ilgalaikio turto remontas</t>
  </si>
  <si>
    <t>iš to sk.: Valstybės investicijų programa</t>
  </si>
  <si>
    <t xml:space="preserve">   VšĮ Juodupės komunalininkas dalininko kapitalui didinti (paskolai grąžinti)</t>
  </si>
  <si>
    <t xml:space="preserve">   kelių žiemos priežiūra</t>
  </si>
  <si>
    <t xml:space="preserve">   subsidijos gamintojams už šiluminę energiją</t>
  </si>
  <si>
    <t xml:space="preserve">   įvykdytų projektų priežiūrai</t>
  </si>
  <si>
    <t xml:space="preserve">   seniūnijų gatvių apšvietimo atnaujinimas</t>
  </si>
  <si>
    <t xml:space="preserve">  teritorijų planavimas ir detalieji planai</t>
  </si>
  <si>
    <t>KAIMO PLĖTROS,APLINKOS APSAUGOS IR VERSLO SKATINIMAS (06)</t>
  </si>
  <si>
    <t xml:space="preserve">    smulkaus ir vidutinio verslo plėtros programa</t>
  </si>
  <si>
    <t>Žemės ūkio skyrius</t>
  </si>
  <si>
    <t xml:space="preserve">  žemės gerinimas</t>
  </si>
  <si>
    <t xml:space="preserve">   žemės ūkio plėtros programa</t>
  </si>
  <si>
    <t xml:space="preserve">   pavojingų,didžiagabaritinių ir asbesto turinčių atliekų surinkimas ir sutvarkymas</t>
  </si>
  <si>
    <r>
      <t xml:space="preserve">  </t>
    </r>
    <r>
      <rPr>
        <i/>
        <sz val="10"/>
        <rFont val="Arial"/>
        <family val="2"/>
        <charset val="186"/>
      </rPr>
      <t>aplinkos apsaugos rėmimo spec.programa</t>
    </r>
  </si>
  <si>
    <t xml:space="preserve">  nuostolingų maršrutų išlaidoms kompensuoti</t>
  </si>
  <si>
    <t xml:space="preserve">                                                         IŠ VISO:</t>
  </si>
  <si>
    <r>
      <t xml:space="preserve">MK* - </t>
    </r>
    <r>
      <rPr>
        <sz val="10"/>
        <rFont val="Arial"/>
        <family val="2"/>
        <charset val="186"/>
      </rPr>
      <t>mokinio krepšelis</t>
    </r>
  </si>
  <si>
    <t>ROKIŠKIO RAJONO SAVIVALDYBĖS 2018 METŲ BIUDŽETAS</t>
  </si>
  <si>
    <t>2018 m. vasario 21 d. sprendimo Nr. TS-</t>
  </si>
  <si>
    <t>Iš viso VF*/ES*</t>
  </si>
  <si>
    <r>
      <t>VF*</t>
    </r>
    <r>
      <rPr>
        <sz val="10"/>
        <rFont val="Arial"/>
        <family val="2"/>
        <charset val="186"/>
      </rPr>
      <t xml:space="preserve"> - valstybės funkcija/</t>
    </r>
    <r>
      <rPr>
        <b/>
        <sz val="10"/>
        <rFont val="Arial"/>
        <family val="2"/>
        <charset val="186"/>
      </rPr>
      <t xml:space="preserve">ES* </t>
    </r>
    <r>
      <rPr>
        <sz val="10"/>
        <rFont val="Arial"/>
        <family val="2"/>
        <charset val="186"/>
      </rPr>
      <t>- Europos sąjungos</t>
    </r>
  </si>
  <si>
    <t>Kelių  priežiūros programa</t>
  </si>
  <si>
    <t>Beglobių gyvūnų priežiūra</t>
  </si>
  <si>
    <t>PRACT už atliekų tvarkymą</t>
  </si>
  <si>
    <t>Kaimo programa</t>
  </si>
  <si>
    <t>Melioracijos programa</t>
  </si>
  <si>
    <t>Talentingų žmonių rėmimo programa</t>
  </si>
  <si>
    <t>Užimtumo didinimo programa</t>
  </si>
  <si>
    <t>Seniūnijų gatvių apšvietimo atnaujinimo programa</t>
  </si>
  <si>
    <t>Rajono reprezentacinių sporto renginių programa</t>
  </si>
  <si>
    <t>Mirusių asmenų palaikų ekspertiniams tyrimams nuvežimo išlaidoms</t>
  </si>
  <si>
    <t>Socialinių būstų remontui</t>
  </si>
  <si>
    <t>Rokiškio baseinas</t>
  </si>
  <si>
    <t>Statybos ir infrastruktūros plėtros skyrius iš viso</t>
  </si>
  <si>
    <t>Jaunimo politikos įgyvendinimo programa</t>
  </si>
  <si>
    <t>Mokyklinių autobusų remontui</t>
  </si>
  <si>
    <t>Žemės sklypų kadastrinių matavimų atlikimas ir kitos paslaugos</t>
  </si>
  <si>
    <t>Socialinė parama mokiniams - nemokamas maitinimas vaikams,turintiems neįgalumą</t>
  </si>
  <si>
    <t>Turto valdymo ir ūkio skyrius</t>
  </si>
  <si>
    <t>Nekilnojamojo turto įregistravimas</t>
  </si>
  <si>
    <t>Nekilnojamojo turto nuomos specialioji programa</t>
  </si>
  <si>
    <t>Statybos ir  infrastruktūros plėtros skyrius</t>
  </si>
  <si>
    <t>Investiciniams projektams,galimybių studijoms ir kitiems dokumentams rengti</t>
  </si>
  <si>
    <t>KULTŪROS, SPPORTO, BENDRUOMENĖS IR VAIKŲ IR JAUNIMO GYVENIMO AKTYVINIMO PROGRAMA (03)</t>
  </si>
  <si>
    <t>Nusikalstamų veikų prevencijos ir kontrolės programa</t>
  </si>
  <si>
    <t>Darbo politikos formavavimas ir įgyvendinimas</t>
  </si>
  <si>
    <t>RAJONO INFRASTRUKTŪROS OBJEKTŲ PRIEŽIŪRA, PLĖTRA IR MODERNIZAVIMAS (05)</t>
  </si>
  <si>
    <t>KAIMO PLĖTROS, APLINKOS APSAUGOS IR VERSLO SKATINIMAS (06)</t>
  </si>
  <si>
    <t>PRATC už atliekų tvarkymą</t>
  </si>
  <si>
    <t>Nuostolingų maršrutų išlaidoms kompensuoti</t>
  </si>
  <si>
    <t>Mokymosi pasiekimų patikrinimams organizuoti ir vykdyti</t>
  </si>
  <si>
    <t>Senamiesčio prog. Laibgalių ikimok. ir priešm.ugymo sk.</t>
  </si>
  <si>
    <t>Kamajų A.Strazdo gimnazijos Jūžintų sk.</t>
  </si>
  <si>
    <t>Obelių ikimok.ir priešmok.ugdymo sk.</t>
  </si>
  <si>
    <t>Jaunimo centras</t>
  </si>
  <si>
    <t>Muzikos mokyklos choreografijos sk.</t>
  </si>
  <si>
    <t>Obelių socialinių paslaugų namai</t>
  </si>
  <si>
    <t>Dalyvaujamajam biudžetui</t>
  </si>
  <si>
    <t>Obelių  socialinių paslaugų namai</t>
  </si>
  <si>
    <t>Finansinė parama atvykstantiems gydytojams ir rezidentams</t>
  </si>
  <si>
    <t>Daugiabučių namų bendrijų rėmimo fondas</t>
  </si>
  <si>
    <t>Rokiškio rajono teritorijos ir Rokiškio miesto teritorijos bendrųjų ir detaliųjų planų parengimas</t>
  </si>
  <si>
    <t>Dotacijos grąžinimas</t>
  </si>
  <si>
    <t>Komunikacijos ir kultūros skyrius iš viso</t>
  </si>
  <si>
    <t>Sporto nevyriausybinių renginių finansavimas</t>
  </si>
  <si>
    <t>Rajono renginių finansavimas</t>
  </si>
  <si>
    <t>Leidybos ir komunikacijos priemonių finansavimas</t>
  </si>
  <si>
    <t>Kaimo kultūrinės veiklos finansavimas</t>
  </si>
  <si>
    <t>Kultūrinės veiklos sklaidos ir kokybės gerinimo finansavimas</t>
  </si>
  <si>
    <t>Etninės kultūros, istorijos ir tautinės atminties išsaugojimo veiklų finansavimas ir organizavimas</t>
  </si>
  <si>
    <t>Švietimo ir sporto skyrius</t>
  </si>
  <si>
    <t xml:space="preserve">Architektūros ir paveldosaugos skyrius </t>
  </si>
  <si>
    <t xml:space="preserve">Žemės ūkio skyrius </t>
  </si>
  <si>
    <t xml:space="preserve">Socialinės paramos ir sveikatos skyrius </t>
  </si>
  <si>
    <t xml:space="preserve">Švietimo ir sporto skyrius </t>
  </si>
  <si>
    <t>L.-d. ,,Nykštukas"</t>
  </si>
  <si>
    <t>L.-d. ,,Pumpurėlis"</t>
  </si>
  <si>
    <t>Juodupės l.-d.</t>
  </si>
  <si>
    <t>M.-d. ,,Ąžuoliukas"</t>
  </si>
  <si>
    <t>M.-d. ,,Ąžuoliukas" Kavoliškio skyrius</t>
  </si>
  <si>
    <t>L.-d. ,,Varpelis"</t>
  </si>
  <si>
    <t>Maisto atliekoms utilizuoti</t>
  </si>
  <si>
    <t>Darželiams, mokykloms - įrangai įsigyti, higienos reikalavimams vykdyti</t>
  </si>
  <si>
    <t>Kompiuterinių technologijoms atnaujinti</t>
  </si>
  <si>
    <t>Lauko aikštelėms ikimokyklinėse įstaigose atnaujinti ir darbo vietoms įvertinti</t>
  </si>
  <si>
    <t>Juozo Tumo-Vaižganto gimnazija</t>
  </si>
  <si>
    <t>Juozo Keliuočio viešoji biblioteka</t>
  </si>
  <si>
    <t>Kamajų Antano Strazdo gimnazija</t>
  </si>
  <si>
    <t>Kamajų Antano Strazdo gimnazijos Jūžintų sk.</t>
  </si>
  <si>
    <t>IŠ VISO ŠVIETIMO ĮSTAIGŲ:</t>
  </si>
  <si>
    <t xml:space="preserve">Finansų skyrius </t>
  </si>
  <si>
    <t>J.Tumo-Vaižganto gimn.VŠĮ Rokiškio psich.ligoninės mokymo sk.</t>
  </si>
  <si>
    <t>J.Tumo-Vaižganto gimn. suaugusiųjų ir jaunimo sk.</t>
  </si>
  <si>
    <t>Iš viso ML*</t>
  </si>
  <si>
    <t>Iš viso VF*</t>
  </si>
  <si>
    <t>Pagalbos pinigų ir kitų išmokų finansavimas</t>
  </si>
  <si>
    <t>Pirmoko krepšelis</t>
  </si>
  <si>
    <t>iš jų: Obelių bendruomenės projektui ,,Obelių ežero pakrantės sutvarkymas"</t>
  </si>
  <si>
    <t>Būsto nuomos mokesčio daliai finansuoti</t>
  </si>
  <si>
    <t>Finansinė parama atvykstantiems pedagogams</t>
  </si>
  <si>
    <t>Eil.     Nr.</t>
  </si>
  <si>
    <t>Pajamų klasifikacijos kodas</t>
  </si>
  <si>
    <t xml:space="preserve">            Pajamos</t>
  </si>
  <si>
    <t>1.1.</t>
  </si>
  <si>
    <t>1.1.1.</t>
  </si>
  <si>
    <t>1.1.1.1.1.</t>
  </si>
  <si>
    <t>Gyventojų pajamų mokestis</t>
  </si>
  <si>
    <t>1.1.3.</t>
  </si>
  <si>
    <t>1.1.3.1.</t>
  </si>
  <si>
    <t>Žemės mokestis</t>
  </si>
  <si>
    <t>1.1.3.2.</t>
  </si>
  <si>
    <t>1.1.3.3.</t>
  </si>
  <si>
    <t>Nekilnojamojo turto mokestis</t>
  </si>
  <si>
    <t>1.1.4.</t>
  </si>
  <si>
    <t>1.1.4.7.1.1.</t>
  </si>
  <si>
    <t>Mokesčiai už aplinkos teršimą</t>
  </si>
  <si>
    <t>1.3.</t>
  </si>
  <si>
    <t>1.3.4.1.1.1.</t>
  </si>
  <si>
    <t xml:space="preserve"> 1.3.4.1.1.1.1.</t>
  </si>
  <si>
    <t>Valstybinėms (valstybės perduotoms savivaldybėms) funkcijoms vykdyti</t>
  </si>
  <si>
    <t xml:space="preserve"> 1.3.4.1.1.1.2.</t>
  </si>
  <si>
    <t>Mokymo lėšos</t>
  </si>
  <si>
    <t xml:space="preserve"> 1.3.4.1.1.1.3.</t>
  </si>
  <si>
    <t xml:space="preserve"> 1.3.4.1.1.1.4.</t>
  </si>
  <si>
    <t>1.3.4.1.1.5.</t>
  </si>
  <si>
    <t>1.3.4.1.1.5.1.</t>
  </si>
  <si>
    <t>Akredituotai vaikų dienos socialinei priežiūrai organizuoti, teikti ir administruoti (VBD)</t>
  </si>
  <si>
    <t>1.3.4.2.</t>
  </si>
  <si>
    <t>1.3.4.2.1.1.1.</t>
  </si>
  <si>
    <t>1.3.4.2.1.1.2.</t>
  </si>
  <si>
    <t>1.4.</t>
  </si>
  <si>
    <t>1.4.1.</t>
  </si>
  <si>
    <t>1.4.1.4.1.</t>
  </si>
  <si>
    <t>Nuomos mokestis už valstybinę žemę ir valstybinio vidaus fondo vandens telkinius</t>
  </si>
  <si>
    <t>Dividendai</t>
  </si>
  <si>
    <t>1.4.1.4.2.1.</t>
  </si>
  <si>
    <t xml:space="preserve">Pajamos už teikiamas paslaugas </t>
  </si>
  <si>
    <t>Valstybės rinkliavos</t>
  </si>
  <si>
    <t>Vietinės rinkliavos</t>
  </si>
  <si>
    <t>1.4.3.1.</t>
  </si>
  <si>
    <t>Pajamos iš baudų ir konfiskuoto turto ir kitų netesybų</t>
  </si>
  <si>
    <t>Kitos neišvardytos pajamos</t>
  </si>
  <si>
    <t>4.1.1.</t>
  </si>
  <si>
    <t>MATERIALIOJO IR NEMATERIALIOJO TURTO REALIZAVIMO PAJAMOS</t>
  </si>
  <si>
    <t>Biudžeto lėšų likutis</t>
  </si>
  <si>
    <t xml:space="preserve"> iš jo: Aplinkos apsaugos rėmimo specialioji programa</t>
  </si>
  <si>
    <t xml:space="preserve">     biudžetinių įstaigų pajamos už teikiamas paslaugas</t>
  </si>
  <si>
    <t xml:space="preserve">    apyvartos lėšos</t>
  </si>
  <si>
    <t>Eil.Nr</t>
  </si>
  <si>
    <t>Dotacijos</t>
  </si>
  <si>
    <t>Civilinės būklės aktų registravimas</t>
  </si>
  <si>
    <t>Pirminė teisinė pagalba</t>
  </si>
  <si>
    <t>Gyventojų registro tvarkymas ir duomenų teikimas valstybės registrui</t>
  </si>
  <si>
    <t>Civilinė sauga</t>
  </si>
  <si>
    <t>Gyvenamosios vietos deklaravimas</t>
  </si>
  <si>
    <t>SOCIALINĖS APSAUGOS IR DARBO MINISTERIJA</t>
  </si>
  <si>
    <t>Socialinėms išmokoms</t>
  </si>
  <si>
    <t>Socialinėms paslaugoms</t>
  </si>
  <si>
    <t>Jaunimo teisių apsaugai</t>
  </si>
  <si>
    <t>SVEIKATOS APSAUGOS MINISTERIJA</t>
  </si>
  <si>
    <t>Visuomenės sveikatos priežiūros funkcijoms vykdyti</t>
  </si>
  <si>
    <t>Neveiksnių asmenų būklės peržiūrėjimas</t>
  </si>
  <si>
    <t>ŽEMĖS ŪKIO MINISTERIJA</t>
  </si>
  <si>
    <t>Žemės ūkio funkcijai</t>
  </si>
  <si>
    <t>Melioracijai</t>
  </si>
  <si>
    <t>Erdvinių duomenų rinkinio tvarkymo funkcijai atlikti</t>
  </si>
  <si>
    <t>KRAŠTO APSAUGOS MINISTERIJA</t>
  </si>
  <si>
    <t>Dalyvavimas rengiant ir vykdant mobilizaciją</t>
  </si>
  <si>
    <t>LIETUVOS VYRIAUSIO ARCHYVARO TARNYBA</t>
  </si>
  <si>
    <t>Archyvinių dokumentų tvarkymas</t>
  </si>
  <si>
    <t>KONKURENCIJOS TARYBA</t>
  </si>
  <si>
    <t>Duomenų apie suteiktą valstybės pagalbą teikimas valsybės registrui</t>
  </si>
  <si>
    <t>VALSTYBINĖ KALBOS INSPEKCIJA</t>
  </si>
  <si>
    <t>Valstybinės kalbos vartojimo ir taisyklingumo kontrolė</t>
  </si>
  <si>
    <t>ŠVIETIMO IR MOKSLO MINISTERIJA</t>
  </si>
  <si>
    <t>Lėšos skaitmeninio ugdymo plėtrai</t>
  </si>
  <si>
    <t>Ūkio lėšos mokykloms, turinčioms mokinių su specialiaisiais poreikiais Rokiškio pagrindinei mokyklai</t>
  </si>
  <si>
    <t>Koordinuotai teikiamų paslaugų vaikams ir vaiko atstovams koordinavimui finansuoti (TBK)</t>
  </si>
  <si>
    <t>KULTŪROS MINISTERIJA</t>
  </si>
  <si>
    <t>Viešajai bibliotekai dokumentams įsigyti</t>
  </si>
  <si>
    <t>Turizmo ir verslo plėtros programa</t>
  </si>
  <si>
    <t>Valstybės funkcijos pavadinimas</t>
  </si>
  <si>
    <t>Programa</t>
  </si>
  <si>
    <t>Asignavimų valdytojas</t>
  </si>
  <si>
    <t>Gyventojų registro tvarkymas ir duomenų valstybės registrui teikimas</t>
  </si>
  <si>
    <t>Civilinės saugos organizavimas</t>
  </si>
  <si>
    <t>Jaunimo teisių apsauga</t>
  </si>
  <si>
    <t xml:space="preserve">            iš jų: viešiesiems darbams</t>
  </si>
  <si>
    <t xml:space="preserve">                    administravimas                    </t>
  </si>
  <si>
    <t>Statybos ir infrastruktūros plėtros skyrius</t>
  </si>
  <si>
    <t xml:space="preserve">                    moduliui</t>
  </si>
  <si>
    <t xml:space="preserve">Pirminė teisinė pagalba </t>
  </si>
  <si>
    <t>Duomenų teikimas valstybės pagalbos registrui</t>
  </si>
  <si>
    <t xml:space="preserve">        iš jų: socialinė parama       </t>
  </si>
  <si>
    <t xml:space="preserve">                administravimas  </t>
  </si>
  <si>
    <t xml:space="preserve">        iš jų: asmenų su sunkia negalia globa</t>
  </si>
  <si>
    <t xml:space="preserve">                administravimas </t>
  </si>
  <si>
    <t xml:space="preserve">                darbui su socialinės rizikos šeimomis</t>
  </si>
  <si>
    <t xml:space="preserve"> Administracija</t>
  </si>
  <si>
    <t xml:space="preserve">                  iš jų:</t>
  </si>
  <si>
    <t xml:space="preserve">Neveiksnių asmenų būklės peržiūrėjimas </t>
  </si>
  <si>
    <t>Erdvinių duomenų rinkinio tvarkymo funkcija</t>
  </si>
  <si>
    <t>Valstybės perduotai įstaigai finansuoti</t>
  </si>
  <si>
    <t xml:space="preserve">Švietimo įstaigoms </t>
  </si>
  <si>
    <t xml:space="preserve">Akredituotai vaikų dienos socialinei priežiūrai </t>
  </si>
  <si>
    <t>Lėšos  savivaldybės viešajai bibliotekai dokumentams įsigyti</t>
  </si>
  <si>
    <t>VB lėšos neformaliam švietimui</t>
  </si>
  <si>
    <t xml:space="preserve">Iš viso </t>
  </si>
  <si>
    <t xml:space="preserve"> iš jų:</t>
  </si>
  <si>
    <t>IŠ VISO</t>
  </si>
  <si>
    <t>1.3.4.1.1.5.2.</t>
  </si>
  <si>
    <t>1.3.4.1.1.5.6.</t>
  </si>
  <si>
    <t xml:space="preserve"> </t>
  </si>
  <si>
    <t>1.3.3.</t>
  </si>
  <si>
    <t>Europos Sąjungos finansinės paramos lėšos</t>
  </si>
  <si>
    <t>Skolintos lėšos</t>
  </si>
  <si>
    <t>Lėšos ameninei pagalbai teikti ir administruoti</t>
  </si>
  <si>
    <t>Lėšos asmeninei pagalbai teikti ir administruoti</t>
  </si>
  <si>
    <t>J.Tumo-Vaižganto gimnazija-klasėms, mokinių, turinčioms moksleivius su specialiais  ugdymo poreikiais</t>
  </si>
  <si>
    <t xml:space="preserve">                                                                               2 priedas</t>
  </si>
  <si>
    <t>Prisidėjimui prie projektų, finansuojamų  ES ir kitų fondų paramos, valstybės investicijų programos lėšų</t>
  </si>
  <si>
    <t>Katalėjos šeimynos finansavimas</t>
  </si>
  <si>
    <t>Finansinė parama daugiavaikėms šeimoms ir globėjams</t>
  </si>
  <si>
    <t>ROKIŠKIO RAJONO SAVIVALDYBĖS 2023 METŲ BIUDŽETO ASIGNAVIMAI</t>
  </si>
  <si>
    <t xml:space="preserve">                                             ROKIŠKIO RAJONO SAVIVALDYBĖS 2023 METŲ BIUDŽETO ASIGNAVIMAI PROGRAMOMS</t>
  </si>
  <si>
    <t>Transporto paslaugų finansavimas neįgaliesiems</t>
  </si>
  <si>
    <t>Asmens higienos paslaugos kompensavimas</t>
  </si>
  <si>
    <t>Viešosioms nemokamo vietinio reguliaraus susisiekimo paslaugoms organizuoti</t>
  </si>
  <si>
    <t>Individualių nuotekų valymo įrenginių įrengimo išlaidoms dalinai kompensuoti</t>
  </si>
  <si>
    <t>Gyvenviečių gruntinio vandens nutekėjimo avarinei būklei likviduoti</t>
  </si>
  <si>
    <t>Programinės įrangos nuoma ir kibernetinio saugumo auditas</t>
  </si>
  <si>
    <t>Duomenų apie suteiktą valstybės pagalbą teikimas valstybės registrui</t>
  </si>
  <si>
    <t>Lėšos ugdymui, maitinimui ir pavėžėjimui socialinę riziką patiriančių vaikų ikimokykliniam ugdymui užtikrinti</t>
  </si>
  <si>
    <t>Kompleksinėms paslaugoms šeimai organizuoti</t>
  </si>
  <si>
    <t>Akredituotai  socialinei reabilitacijai neįgaliesiems bendruomenėje organizuoti, teikti ir administruoti</t>
  </si>
  <si>
    <t>APLINKOS MINISTERIJA</t>
  </si>
  <si>
    <t>Trūkstamų specialistų pritraukimo į Panevėžio apskrities vyriausiojo policijos komisriato Rokiškio policijos komisariatą programa</t>
  </si>
  <si>
    <t>Akredituotai socialinei reabilitacijai neįgaliesiems bendruomenėje organizuoti, teikti  ir administruoti</t>
  </si>
  <si>
    <t>ROKIŠKIO RAJONO SAVIVALDYBĖS BIUDŽETO 2023 METŲ VALSTYBĖS BIUDŽETO DOTACIJOS</t>
  </si>
  <si>
    <t>Daugiafunkcinės salės Rokiškio m. Taikos g. 21A statybai (VIP)</t>
  </si>
  <si>
    <t>Akredituotai vaikų dienos socialinei priežiūrai</t>
  </si>
  <si>
    <t>Akredituotai socialinei reabilitacijai neįgaliesiems bendruomenėje organizuoti, teikti ir administruoti</t>
  </si>
  <si>
    <t>Naujagimio kraitelis</t>
  </si>
  <si>
    <t xml:space="preserve">        iš jų :  socialinių išmokų administravimas </t>
  </si>
  <si>
    <t xml:space="preserve">        iš jų:</t>
  </si>
  <si>
    <t xml:space="preserve"> Pajamų ir pelno mokesčiai (3+4)</t>
  </si>
  <si>
    <t>MOKESČIAI (2+5+9)</t>
  </si>
  <si>
    <t>Turto  mokesčiai (6+7+8)</t>
  </si>
  <si>
    <t>Prekių ir paslaugų mokesčiai (10)</t>
  </si>
  <si>
    <t>Laisvės kovų įamžinimo komisijos veiklos programa</t>
  </si>
  <si>
    <t>Religinių bendruomenių rėmimo programa</t>
  </si>
  <si>
    <t>Nekilnojamojo  kultūros paveldo pažinimo sklaidos ir atgaivinimo programa</t>
  </si>
  <si>
    <t xml:space="preserve">        Velykalnio bendruomenės Lašo g. teritorijos sutvarkymo projektui</t>
  </si>
  <si>
    <t xml:space="preserve">Strateginio planavimo ir investicijų   skyrius </t>
  </si>
  <si>
    <t>Savivaldybės strateginio ilgalaikio plėtros plano ir kitų strateginių dokumentų rengimo paslaugos</t>
  </si>
  <si>
    <t>Daugiafunkcės salės Rokiškio m. Taikos g.21A  statybai (VIP)</t>
  </si>
  <si>
    <t>Paveldimo ir dovanojimo mokestis</t>
  </si>
  <si>
    <t>Juozo Tumo-Vaižganto gimnazijos klasėms, turinčioms moksleivių su specialiaisiais ugdymo poreikiais</t>
  </si>
  <si>
    <t>Neformaliajam vaikų švietimui</t>
  </si>
  <si>
    <t>Daugiafunkcės salės Rokiškio m. Taikos g.21A  statybai (VBD/VIP)</t>
  </si>
  <si>
    <t>Juozo Tumo-Vaižganto gimnazijos klasėms, turinčioms mokinių su specialiaisiais ugdymo poreikiais</t>
  </si>
  <si>
    <t>Lėšos neformaliajam vaikų švietimui</t>
  </si>
  <si>
    <t>Akredituotai vaikų  dienos socialinei priežiūrai  organizuoti, teikti ir administruoti</t>
  </si>
  <si>
    <t>Daugiafunkcės salės Rokiškio m. Taikos g. 21A statybai (VIP)</t>
  </si>
  <si>
    <t>Kompiuterinėms technologijoms atnaujinti</t>
  </si>
  <si>
    <t>Nevyriausybinių organizacijų projektų finansavimas</t>
  </si>
  <si>
    <t>Juozo Tumo-Vaižganto gimn. suaugusiųjų ir jaunimo sk.</t>
  </si>
  <si>
    <t>Juozo Tumo-Vaižganto gimn. VšĮ Rokiškio psichiatrijos ligoninės mokymo sk.</t>
  </si>
  <si>
    <t>Kamajų Antano Strazdo gimn. ikimokykl. ugd. sk.</t>
  </si>
  <si>
    <t>Savivaldybių viešosioms bibliotekoms dokumentams 2023 metais įsigyti (VBD)</t>
  </si>
  <si>
    <t>Ameninės pagalbos paslaugos finansavimas</t>
  </si>
  <si>
    <t>Akredituotų ir licenzijuotų paslaugų finansavimas</t>
  </si>
  <si>
    <t xml:space="preserve">                                                                               2023 m. sausio 27 d. sprendimo Nr. TS-3</t>
  </si>
  <si>
    <t>2023 m. sausio 27 d. sprendimo Nr. TS-3</t>
  </si>
  <si>
    <t xml:space="preserve">2023 M. VALSTYBĖS BIUDŽETO DOTACIJŲ PASKIRSTYMAS PROGRAMOMS </t>
  </si>
  <si>
    <t>1.3.4.1.1.5.7.</t>
  </si>
  <si>
    <t>Lėšos socialinių paslaugų srities darbuotojų minimaliesiems pareiginės algos pastoviosios dalies koeficientams didinti</t>
  </si>
  <si>
    <t>1.3.4.1.1.5.8.</t>
  </si>
  <si>
    <t>Lėšos socialinių paslaugų šakos kolektyvinėje sutartyje numatytiems įsipareigojimams įgyvendinti</t>
  </si>
  <si>
    <t>1.3.4.1.1.5.9.</t>
  </si>
  <si>
    <t>Bendruomeninei veiklai stiprinti</t>
  </si>
  <si>
    <t>1.3.4.1.1.5.10.</t>
  </si>
  <si>
    <t xml:space="preserve">Lėšos kompensacijoms už būsto suteikimą užsieniečiams, pasitraukusiems iš Ukrainos, finansuoti </t>
  </si>
  <si>
    <t>Kelių priežiūros ir plėtros programa</t>
  </si>
  <si>
    <t>Perimamų patikėjimo teise valstybinės žemės ir miško sklypų patikėtinio funkcijai vykdyti</t>
  </si>
  <si>
    <t>SUSISIEKIMO MINISTERIJA</t>
  </si>
  <si>
    <t xml:space="preserve"> 1.3.4.1.1.1.5.</t>
  </si>
  <si>
    <t>1.3.4.1.1.5.3.</t>
  </si>
  <si>
    <t>1.3.4.1.1.5.4.</t>
  </si>
  <si>
    <t>1.3.4.1.1.5.5.</t>
  </si>
  <si>
    <t>1.3.4.1.1.5.11.</t>
  </si>
  <si>
    <t xml:space="preserve">(Rokiškio rajono savivaldybės tarybos </t>
  </si>
  <si>
    <t>redakcija)</t>
  </si>
  <si>
    <t xml:space="preserve">                                                                                                        </t>
  </si>
  <si>
    <t>iš jų darbo užmokesčiui</t>
  </si>
  <si>
    <t xml:space="preserve">    suma</t>
  </si>
  <si>
    <t>1.3.4.1.1.5.12</t>
  </si>
  <si>
    <t>Lėšos būsto pritaikymui neįgaliesiems</t>
  </si>
  <si>
    <t>1.3.4.1.1.5.13.</t>
  </si>
  <si>
    <t>1.3.4.2.1.1.4.</t>
  </si>
  <si>
    <t>1.4.1.2.1.2.</t>
  </si>
  <si>
    <t>Mokestis už  kitus valstybinius gamtos išteklius</t>
  </si>
  <si>
    <t>1.4.2.1.</t>
  </si>
  <si>
    <t>1.4.2.1.6.1</t>
  </si>
  <si>
    <t>1.4.2.1.6.2</t>
  </si>
  <si>
    <t>1.1.4.7.2.2.</t>
  </si>
  <si>
    <t>1.4.4.1.</t>
  </si>
  <si>
    <t>suma</t>
  </si>
  <si>
    <t>Švietimo įstaigoms (4 priedas)</t>
  </si>
  <si>
    <t>Kompleksinėms paslaugoms šeimai organizuoti iš viso:</t>
  </si>
  <si>
    <t>Lėšų grąžinimas pagal Neįgaliųjų reikalų departamento patikros išvadą</t>
  </si>
  <si>
    <t>tūkst. Eur</t>
  </si>
  <si>
    <t xml:space="preserve">   IŠ  VISO VALSTYBĖS DELEGUOTOMS FUNKCIJOMS (1+5+9+17+20+23+26+28+30+32)</t>
  </si>
  <si>
    <t xml:space="preserve">  IŠ VISO VALSTYBĖS BIUDŽETO LĖŠŲ (34+35)</t>
  </si>
  <si>
    <t>1.3.4.1.1.5.14.</t>
  </si>
  <si>
    <t xml:space="preserve">Lėšos siekiant užtikrinti LR piniginės socialinės  paramos nepasiturintiems gyventojams įstatymo įgyvendinimą </t>
  </si>
  <si>
    <t>1.3.4.1.1.5.15.</t>
  </si>
  <si>
    <t>Lėšos išlaidoms , susijusioms su mokyklų mokytojų, dirbančių pagal ikimokyklinio, priešmokyklinio, bendrojo  ugdymo ir profesinio mokymo programas, personalo optimizavimui ir atnaujinimui, apmokėti</t>
  </si>
  <si>
    <t>1.3.4.1.1.5.16.</t>
  </si>
  <si>
    <t>Dotacija naudotų padangų, kurių turėtojo nustatyti neįmanoma arba kuris neegzistuoja, tvarkymui Aplinkos apsaugos rėmimo specialiajai programai)</t>
  </si>
  <si>
    <t xml:space="preserve">Statybos ir infrastruktūros plėtros skyrius </t>
  </si>
  <si>
    <t>Mero rezervas</t>
  </si>
  <si>
    <t xml:space="preserve">        Kairelių bendruomenės centro aplinkos sutvarkymo Gediškių kaime projektui</t>
  </si>
  <si>
    <t>Europos  Sąjungos finansinės paramos lėšos projektams finansuoti</t>
  </si>
  <si>
    <t>Europos Sąjungos  finansinės paramos lėšos projektams finansuoti</t>
  </si>
  <si>
    <t>Iš viso ES FP*</t>
  </si>
  <si>
    <r>
      <t xml:space="preserve">SF* - </t>
    </r>
    <r>
      <rPr>
        <sz val="10"/>
        <rFont val="Times New Roman"/>
        <family val="1"/>
        <charset val="186"/>
      </rPr>
      <t>savarankiška funkcija</t>
    </r>
  </si>
  <si>
    <r>
      <t>VF*</t>
    </r>
    <r>
      <rPr>
        <sz val="10"/>
        <rFont val="Times New Roman"/>
        <family val="1"/>
        <charset val="186"/>
      </rPr>
      <t xml:space="preserve"> - valstybės biudžeto tikslinės lėšos</t>
    </r>
  </si>
  <si>
    <r>
      <t xml:space="preserve">ML* - </t>
    </r>
    <r>
      <rPr>
        <sz val="10"/>
        <rFont val="Times New Roman"/>
        <family val="1"/>
        <charset val="186"/>
      </rPr>
      <t>mokymo lėšos</t>
    </r>
  </si>
  <si>
    <r>
      <t xml:space="preserve">SP PR* - </t>
    </r>
    <r>
      <rPr>
        <sz val="10"/>
        <rFont val="Times New Roman"/>
        <family val="1"/>
        <charset val="186"/>
      </rPr>
      <t>specialioji programa</t>
    </r>
  </si>
  <si>
    <r>
      <t xml:space="preserve">ES FP*- </t>
    </r>
    <r>
      <rPr>
        <sz val="10"/>
        <rFont val="Times New Roman"/>
        <family val="1"/>
        <charset val="186"/>
      </rPr>
      <t>Europos Sąjungos finansinė parama</t>
    </r>
  </si>
  <si>
    <t>TEISINGUMO MINISTERIJA</t>
  </si>
  <si>
    <t>VIDAUS REIKALŲ MINISTERIJA</t>
  </si>
  <si>
    <t xml:space="preserve"> redakcija)</t>
  </si>
  <si>
    <t>Lietuvos Respublikos Vyriausybės rezervo lėšos savivaldybių partirtoms išlaidoms, susijusioms su užsieniečiais, pasitraukusiais iš Ukrainos dėl Rusijos Federacijos karinių  veiksmų Ukrainoje, kompensuoti</t>
  </si>
  <si>
    <t>FINANSŲ  MINISTERIJA</t>
  </si>
  <si>
    <t xml:space="preserve">VALSTYBĖS INVESTICIJŲ PROGRAMOJE NUMATYTOMS KAPITALO INVESTICIJOMS FINANSUOTI </t>
  </si>
  <si>
    <t>Panemunėlio  universalus daugiafunkcis centras</t>
  </si>
  <si>
    <t xml:space="preserve">                                                                               Rokiškio rajono savivaldybės tarybos  </t>
  </si>
  <si>
    <t>Švietimo centro pedagoginė psichologinė tarnyba</t>
  </si>
  <si>
    <t>IŠ VISO VALSTYBĖS DELEGUOTOMS FUNKCIJOMS VYKDYTI (1+..+9+14+15+16+20+24+37+38+39+46+47+..+51)</t>
  </si>
  <si>
    <t>Melioracijos statinių techninei būklei įvertinti</t>
  </si>
  <si>
    <t>Turizmo informacijos centras</t>
  </si>
  <si>
    <t>Dotacija projektui ,,Atsinaujinančių energojos išteklių (75 k galios saulės elektrinės) diegimas Rokiškio  Juozo Tumo-Vaižganto gimnazijoje (Taikos g.17 Rokiškis)"</t>
  </si>
  <si>
    <t>Obelių ikimok. ir priešmok. ugdymo skyrius</t>
  </si>
  <si>
    <t>Lėšos vaikams, atvykusiems į Lietuvos Respubliką iš Ukrainos dėl Rusijos Federacijos karinių veiksmų  Ukrainoje, ugdyti ir pavėžėti į mokyklą ir atgal</t>
  </si>
  <si>
    <t>Lėšos vaikams, atvykusiems Lietuvos Respubliką iš Ukrainos dėl Rusijos Federacijos karinių veiksmų  Ukrainoje, ugdyti ir pavėžėti į mokyklą ir atgal</t>
  </si>
  <si>
    <t>Dotacija naudotoms padangoms, kurių turėtojo nustatyti neįmanoma arba kuris neegzistuoja, tvarkyti</t>
  </si>
  <si>
    <t>Obelių ikimok. ir priešmok. ugdymo sk.</t>
  </si>
  <si>
    <t>1.3.4.4.4.5.19.</t>
  </si>
  <si>
    <t>Valstybės tarnybos reformai įgyvendinti</t>
  </si>
  <si>
    <t>Lėšos teikiant socialinę paramą mokiniams pagal Lietuvos Respublikos paramos mokiniams įstatyną užsieniečiams, pasitraukusiems iš Ukrainos  dėl Rusijos Federacijos  karinių veiksmų Ukrainoje, padengti</t>
  </si>
  <si>
    <t>1.4.1.1.1.2.</t>
  </si>
  <si>
    <t>Palūkanos už indėlius, depozitus ir sąskaitų likučius</t>
  </si>
  <si>
    <t xml:space="preserve">VšĮ Rokiškio pirminės asmens sveikatos  priežiūros centro  dalininko kapitalui didinti </t>
  </si>
  <si>
    <t>Lėšos teikiant socialinę paramą mokiniams pagal Lietuvos Respublikos paramos mokiniams įstatymą užsieniečiams, pasitraukusiems iš Ukrainos  dėl Rusijos Federacijos  karinių veiksmų Ukrainoje, padengti</t>
  </si>
  <si>
    <t xml:space="preserve">       Rokiškio rajono savivaldybės tarybos  </t>
  </si>
  <si>
    <t xml:space="preserve">      2023 m. sausio 27 d. sprendimo Nr. TS-3</t>
  </si>
  <si>
    <t xml:space="preserve">                         ROKIŠKIO RAJONO SAVIVALDYBĖS BIUDŽETINIŲ ĮSTAIGŲ 2023 M. PAJAMOS</t>
  </si>
  <si>
    <t xml:space="preserve">                                         UŽ TEIKIAMAS PASLAUGAS</t>
  </si>
  <si>
    <t xml:space="preserve">Eil.Nr.   </t>
  </si>
  <si>
    <t>Įstaiga</t>
  </si>
  <si>
    <t>Planuojama gauti pajamų už teikiamas paslaugas</t>
  </si>
  <si>
    <t>Iš to skaičiaus</t>
  </si>
  <si>
    <t>tėvų įnašai</t>
  </si>
  <si>
    <t>pajamos už turto nuomą</t>
  </si>
  <si>
    <t>kitos atsitiktinės pajamos</t>
  </si>
  <si>
    <t xml:space="preserve">Turto valdymo ir ūkio skyrius </t>
  </si>
  <si>
    <t>Viešoji biblioteka</t>
  </si>
  <si>
    <t>Senamiesčio prog. Laibgalių ikimokyklinio ir pradinio ugdymo sk.</t>
  </si>
  <si>
    <t>Juodupės gimnazijos neformal. šviet. sk.</t>
  </si>
  <si>
    <t>Kamajų gimnazijos ikimokykl. ugdymo sk.</t>
  </si>
  <si>
    <t>Kamajų gimnazijos neformal. šviet. sk.</t>
  </si>
  <si>
    <t>Obelių gimn. neformal. šviet. sk.</t>
  </si>
  <si>
    <t>Pandėlio gimnazija</t>
  </si>
  <si>
    <t xml:space="preserve">Pandėlio universalus daugiafunkcis centras </t>
  </si>
  <si>
    <t xml:space="preserve">Panemunėlio universalus daugiafunkcis centras </t>
  </si>
  <si>
    <t>1.3.4.2.1.1.5.</t>
  </si>
  <si>
    <t>1.3.4.2.1.1.6.</t>
  </si>
  <si>
    <t xml:space="preserve">      ( Rokiškio rajono savivaldybės tarybos </t>
  </si>
  <si>
    <t>Dotacija projektui ,,Atsinaujinančių energijos išteklių (75 k galios saulės elektrinės) diegimas Rokiškio  Juozo Tumo-Vaižganto gimnazijoje (Taikos g.17 Rokiškis)"</t>
  </si>
  <si>
    <t>Dotacija projektui ,,Atsinaujinančių energijos išteklių (saulės elektrinės) diegimas Rokiškio  Juozo Tumo-Vaižganto gimnazijoje Riomerio g.1, Rokiškis)"</t>
  </si>
  <si>
    <t xml:space="preserve">IŠ VISO KITOMS TIKSLINĖMS DOTACIJOMS   (53+54+57+..+63+66+69+72+73+74+77+80+90+91+92+95+..+100+103+104+105+106+107)           </t>
  </si>
  <si>
    <t xml:space="preserve"> IŠ VISO VALSTYBĖS BIUDŽETO LĖŠŲ (52+108)</t>
  </si>
  <si>
    <t xml:space="preserve">VšĮ Rokiškio rajono ligoninės  dalininko kapitalui didinti </t>
  </si>
  <si>
    <t>1.3.4.2.1.1.7.</t>
  </si>
  <si>
    <t>1.3.4.2.1.1.8.</t>
  </si>
  <si>
    <t>Dotacija projektui ,,Atsinaujinančių energijos išteklių ( saulės elektrinės) diegimas Rokiškio  Juozo Tumo-Vaižganto gimnazijoje (Riomerio g.1 Rokiškis)"</t>
  </si>
  <si>
    <t>Dotacija projektui ,,Atsinaujinančių energijos išteklių (  saulės elektrinės) diegimas Rokiškio  Juozo Tumo-Vaižganto gimnazijoje (Riomerio g.1 Rokiškis)"</t>
  </si>
  <si>
    <t>Kamajų Antano Strazdo gimn. Jūžintų sk.</t>
  </si>
  <si>
    <t>IŠ VISO SKYRIŲ IR ĮSTAIGŲ:</t>
  </si>
  <si>
    <t>Savivaldybės administracija (iš viso)</t>
  </si>
  <si>
    <t>Socialinės paramos ir sveikatos skyrius (iš viso)</t>
  </si>
  <si>
    <t>Socialinė parama mokiniams (nemokamas maitinimas vaikams, turintiems neįgalumą)</t>
  </si>
  <si>
    <t>Lėšos teikiant socialinę paramą mokiniams pagal Lietuvos Respublikos paramos mokiniams įstatymą užsieniečiams, pasitraukusiems iš Ukrainos dėl Rusijos Federacijos  karinių veiksmų Ukrainoje, padengti</t>
  </si>
  <si>
    <t>Turto valdymo ir ūkio skyrius (iš viso)</t>
  </si>
  <si>
    <t>Strateginio planavimo ir investicijų skyrius (iš viso)</t>
  </si>
  <si>
    <t>BC ,,Spiečius' administravimas</t>
  </si>
  <si>
    <t>Architektūros ir  paveldosaugos skyrius  (iš viso)</t>
  </si>
  <si>
    <t>Dotacija projektui ,,Regioninių ir savivaldybių atliekų prevencijos ir tvarkymo planų projektų rengimas"</t>
  </si>
  <si>
    <t>Dotacija projektui ,,Tekstilės atliekų surinkimo atliekų konteinerių įsigijimas Panevėžio  regione"</t>
  </si>
  <si>
    <t>Finansų skyrius (iš viso)</t>
  </si>
  <si>
    <t>Žemės ūkio skyrius (iš viso)</t>
  </si>
  <si>
    <t>Švietimo ir sporto skyrius (iš viso)</t>
  </si>
  <si>
    <t>Darželiams, mokykloms (įrangai įsigyti, higienos reikalavimams vykdyti)</t>
  </si>
  <si>
    <t>Lėšos išlaidoms, susijusioms su mokyklų mokytojų, dirbančių pagal ikimokyklinio, priešmokyklinio, bendrojo  ugdymo ir profesinio mokymo programas, personalo optimizavimui ir atnaujinimui apmokėti</t>
  </si>
  <si>
    <t>Prisidėti prie projektų, finansuojamų  ES ir kitų fondų paramos, valstybės investicijų programos lėšų</t>
  </si>
  <si>
    <t>Komunikacijos ir kultūros skyrius (iš viso)</t>
  </si>
  <si>
    <t>Senamiesčio progimn. Laibgalių ikimok. ir priešm. ugymo sk.</t>
  </si>
  <si>
    <t>Gyventojų pajamų mokestis iš veiklos su verslo liudijimu</t>
  </si>
  <si>
    <t xml:space="preserve">Lėšos siekiant užtikrinti Lietuvos Respublikos piniginės socialinės  paramos nepasiturintiems gyventojams įstatymo įgyvendinimą </t>
  </si>
  <si>
    <t>Dotacija projektui ,,Vandens tiekimo ir nuotekų tvarkymo sistemų renovavimas ir plėtra Rokiškio rajone“</t>
  </si>
  <si>
    <t>Ūkio lėšos mokykloms, turinčioms mokinių su specialiaisiais poreikiais (Rokiškio pagrindinei mokyklai)</t>
  </si>
  <si>
    <t>Koordinuotai teikiamų paslaugų vaikams ir vaiko atstovams (koordinavimui finansuoti (TBK))</t>
  </si>
  <si>
    <t>Lėšos  ugdymui, maitinimui ir pavėžėjimui (socialinę riziką patiriančių vaikų ikimokykliniam ugdymui užtikrinti)</t>
  </si>
  <si>
    <t>Lėšos išlaidoms, susijusioms su mokyklų mokytojų, dirbančių pagal ikimokyklinio, priešmokyklinio, bendrojo  ugdymo ir profesinio mokymo programas, personalo optimizavimui ir atnaujinimui, apmokėti</t>
  </si>
  <si>
    <t>Ūkio lėšos mokykloms, turinčioms mokinių su specialiaisiais poreikiais (Rokiškio pagrindinei mokyklai (VBD))</t>
  </si>
  <si>
    <t>BC ,,Spiečius" administravimas</t>
  </si>
  <si>
    <t xml:space="preserve">                      administravimas</t>
  </si>
  <si>
    <t xml:space="preserve">     iš jų:</t>
  </si>
  <si>
    <r>
      <t xml:space="preserve">                    </t>
    </r>
    <r>
      <rPr>
        <b/>
        <sz val="12"/>
        <rFont val="Times New Roman"/>
        <family val="1"/>
        <charset val="186"/>
      </rPr>
      <t xml:space="preserve">  IR ASIGNAVIMŲ VALDYTOJAMS</t>
    </r>
  </si>
  <si>
    <t>Užimtumo didinimo programa  (iš viso)</t>
  </si>
  <si>
    <t>Socialinė parama mokiniams  (iš viso)</t>
  </si>
  <si>
    <t xml:space="preserve">                administravimas (švietimo įstaigoms) </t>
  </si>
  <si>
    <t>Socialinės paslaugos (iš viso)</t>
  </si>
  <si>
    <t>Socialinės išmokos (iš viso)</t>
  </si>
  <si>
    <t xml:space="preserve">            socialinės išmokos (laidojimo pašalpos) (iš  viso)</t>
  </si>
  <si>
    <t>Žemės ūkio  funkcijos vykdymas (iš viso)</t>
  </si>
  <si>
    <t>Ameninės pagalbos paslaugos finansavimas  ir administravimas (iš viso)</t>
  </si>
  <si>
    <t>Akredituotai  socialinei reabilitacijai neįgaliesiems bendruomenėje organizuoti, teikti ir administruoti (iš viso)</t>
  </si>
  <si>
    <t>Lėšos kompensacijoms už būsto suteikimą užsieniečiams, pasitraukusiems iš Ukrainos, finansuoti (iš viso)</t>
  </si>
  <si>
    <t>Lėšos vaikams, atvykusiems į Lietuvos Respubliką iš Ukrainos dėl Rusijos Federacijos karinių veiksmų  Ukrainoje, ugdyti ir pavėžėti į mokyklą ir atgal (iš viso)</t>
  </si>
  <si>
    <t>Lėšos būsto pritaikymui neįgaliesiems (iš viso)</t>
  </si>
  <si>
    <t>Lėšos siekiant užtikrinti Lietuvos Respublikos piniginės socialinės  paramos nepasiturintiems gyventojams įstatymo įgyvendinimą (iš viso)</t>
  </si>
  <si>
    <t>Lietuvos Respublikos Vyriausybės rezervo lėšos savivaldybių partirtoms išlaidoms, susijusioms su užsieniečiais, pasitraukusiais iš Ukrainos dėl Rusijos Federacijos karinių  veiksmų Ukrainoje, kompensuoti (iš viso)</t>
  </si>
  <si>
    <t xml:space="preserve">  Juodupės seniūnija</t>
  </si>
  <si>
    <t xml:space="preserve">  Jūžintų seniūnija</t>
  </si>
  <si>
    <t xml:space="preserve">  Kamajų seniūnija</t>
  </si>
  <si>
    <t xml:space="preserve">  Kazliškio seniūnija</t>
  </si>
  <si>
    <t xml:space="preserve">  Kriaunų seniūnija</t>
  </si>
  <si>
    <t xml:space="preserve">  Obelių seniūnija</t>
  </si>
  <si>
    <t xml:space="preserve">  Pandėlio seniūnija</t>
  </si>
  <si>
    <t xml:space="preserve">  Panemunėlio seniūnija</t>
  </si>
  <si>
    <t xml:space="preserve">  Rokiškio kaim. seniūnija</t>
  </si>
  <si>
    <t xml:space="preserve">  Rokiškio mst. seniūnija</t>
  </si>
  <si>
    <t>Administracija (mero ir mero pavaduotojo darbo apmokėjimas)</t>
  </si>
  <si>
    <t>Ugdymo, maitinimo ir pavėžėjimo lėšos socialinę riziką patiriančių vaikų ikimokykliniam ugdymui užtikrinti</t>
  </si>
  <si>
    <t>1.3.4.4.4.5.17.</t>
  </si>
  <si>
    <t>1.3.4.4.4.5.18.</t>
  </si>
  <si>
    <t>Lėšos socialinių paslaugų šakos kolektyvinėje sutartyje numatytiems įsipareigijimams įgyvendinti (iš viso)</t>
  </si>
  <si>
    <t>Lėšos išlaidoms, susijusioms su mokyklų mokytojų, dirbančių pagal ikimokyklinio, priešmokyklinio, bendrojo  ugdymo ir profesinio mokymo programas, personalo optimizavimui ir atnaujinimui, apmokėti (iš viso)</t>
  </si>
  <si>
    <t xml:space="preserve">                                                                                                                                                             </t>
  </si>
  <si>
    <t xml:space="preserve">                                                                                          </t>
  </si>
  <si>
    <t>Mokymo lėšos ugdymo procesui organizuoti ir valdyti bei švietimo, mokymosi pagalbai, bibliotekos darbuotojams ir skaitmeninio ugdymo plėtrai 2023 metams</t>
  </si>
  <si>
    <t>sumos-Eur</t>
  </si>
  <si>
    <t>Eil. Nr.</t>
  </si>
  <si>
    <t>Įstaigos pavadinimas</t>
  </si>
  <si>
    <t>Ugdymo procesui organizuoti ir valdyti</t>
  </si>
  <si>
    <t>Švietimo pagalbai</t>
  </si>
  <si>
    <t>Mokyklų bibliotekos darbuotojams</t>
  </si>
  <si>
    <t>Skaitmeninio ugdymo plėtrai</t>
  </si>
  <si>
    <t>Lopšelis-darželis ,,Nykštukas"</t>
  </si>
  <si>
    <t>Lopšelis-darželis ,,Pumpurėlis"</t>
  </si>
  <si>
    <t>Juodupės lopšelis-darželis</t>
  </si>
  <si>
    <t>Mokykla-darželis ,,Ąžuoliukas"</t>
  </si>
  <si>
    <t>M.-d. ,,Ąžuoliukas" Kavoliškio sk.</t>
  </si>
  <si>
    <t>Lopšelis-darželis ,,Varpelis"</t>
  </si>
  <si>
    <t>Senamiesčio progimnazijos Laibgalių ikimokyklinio ir priešmokyklinio ugdymo sk.</t>
  </si>
  <si>
    <t>Juozo Tumo-Vaižganto gimnazijos suaugusiųjų ir jaunimo sk.</t>
  </si>
  <si>
    <t>J.Tumo-Vaižganto gimn. VšĮ Rokiškio psichiatrijos ligoninės mokymo sk.</t>
  </si>
  <si>
    <t>Kamajų Antano Strazdo gimnazijos ikimokyklinio ugdymo skyrius</t>
  </si>
  <si>
    <t>Iš viso:</t>
  </si>
  <si>
    <t xml:space="preserve"> Rokiškio rajono savivaldybės tarybos    </t>
  </si>
  <si>
    <t xml:space="preserve"> 9 priedas</t>
  </si>
  <si>
    <t>2023 m. sausio 27 d.sprendimo Nr. TS-3</t>
  </si>
  <si>
    <t>Panemunėlio seniūnijoje Lietuvos pašto patalpoms išpirkti</t>
  </si>
  <si>
    <t>Paskolų aptarnavimo išlaidos (palūkanos)</t>
  </si>
  <si>
    <t>Paskolų grąžinimas</t>
  </si>
  <si>
    <t xml:space="preserve">              (Rokiškio rajono savivaldybės tarybos</t>
  </si>
  <si>
    <t xml:space="preserve">                        (Rokiškio rajono savivaldybės tarybos</t>
  </si>
  <si>
    <t xml:space="preserve">                        redakcija)</t>
  </si>
  <si>
    <t>Dotacija AB " Panevėžio energija"  projektui " Kėdainių ŠTR  katilinės dūmų valymo filtrų įrengimas"</t>
  </si>
  <si>
    <t>Dotacija AB Panevėžio energija projektui "Kėdainių ŠTR katilinės  dūmų valymo filtrų įrengimas"</t>
  </si>
  <si>
    <t>2023 m. sausio 27  d. sprendimo Nr. TS-3</t>
  </si>
  <si>
    <t>7 priedas</t>
  </si>
  <si>
    <t>ROKIŠKIO RAJONO SAVIVALDYBĖS APYVARTOS LĖŠŲ PASKIRSTYMAS</t>
  </si>
  <si>
    <t xml:space="preserve">        (LĖŠŲ LIKUTIS 2022 M. GRUODŽIO 31 D.)</t>
  </si>
  <si>
    <r>
      <t xml:space="preserve">         </t>
    </r>
    <r>
      <rPr>
        <b/>
        <sz val="12"/>
        <rFont val="Times New Roman"/>
        <family val="1"/>
        <charset val="186"/>
      </rPr>
      <t xml:space="preserve">   IR ASIGNAVIMAI IŠ SKOLINTŲ LĖŠŲ</t>
    </r>
  </si>
  <si>
    <t>sumos-eurais</t>
  </si>
  <si>
    <t>Asignavimų valdytojo pavadinimas</t>
  </si>
  <si>
    <t xml:space="preserve">biudžetinių įstaigų pajamos už teikiamas paslaugas </t>
  </si>
  <si>
    <t xml:space="preserve"> aplinkos apsaugos rėmimo specialioji programa</t>
  </si>
  <si>
    <t>laisvas lėšų likutis</t>
  </si>
  <si>
    <t xml:space="preserve">Baseinas   </t>
  </si>
  <si>
    <t>Juodupės gimnazijos neformaliojo švietimo skyrius</t>
  </si>
  <si>
    <t>Kamajų Antano Strazdo gimn. ikimok. ugd. sk.</t>
  </si>
  <si>
    <t>Kamajų Antano Strazdo gimn. neformaliojo švietimo skyrius</t>
  </si>
  <si>
    <t>Obelių gimnazijos neformaliojo švietimo skyrius</t>
  </si>
  <si>
    <t xml:space="preserve">Panemunėlio mokykla-daugiafunkcis centras </t>
  </si>
  <si>
    <t>Architektūros ir paveldosaugos skyrius- aplinkos apsaugos rėmimo spec. programa</t>
  </si>
  <si>
    <t>Finansų skyrius iš viso</t>
  </si>
  <si>
    <t xml:space="preserve"> iš jų: paskolų aptarnavimo išlaidos (palūkanos)</t>
  </si>
  <si>
    <t xml:space="preserve">        paskolų grąžinimas</t>
  </si>
  <si>
    <t>Turto valdymo ir ūkio skyrius  iš viso</t>
  </si>
  <si>
    <t xml:space="preserve"> iš jų: viešosioms nemokamo vietinio reguliaraus susisiekimo paslaugoms organizuoti</t>
  </si>
  <si>
    <t>Švietimo ir sporto skyrius iš viso</t>
  </si>
  <si>
    <t>iš jų: prisidėjimui prie projektų, finansuojamų  ES ir kitų fondų paramos, valstybės investicijų programos lėšų</t>
  </si>
  <si>
    <t>Statybos ir infrastruktūros plėtros skyrius  iš viso</t>
  </si>
  <si>
    <t xml:space="preserve">       kapitalo investicijos ir ilgalaikio turto remontas</t>
  </si>
  <si>
    <t xml:space="preserve">  IŠ VISO</t>
  </si>
  <si>
    <t>SKOLINTOS LĖŠOS</t>
  </si>
  <si>
    <t xml:space="preserve">    Asignavimų valdytojas</t>
  </si>
  <si>
    <t xml:space="preserve">Programa </t>
  </si>
  <si>
    <t>Eil.   Nr.</t>
  </si>
  <si>
    <t>1.</t>
  </si>
  <si>
    <t>1.3.3.1.</t>
  </si>
  <si>
    <t>Europos Sąjungos finansinės paramos lėšos  einamiesiems tikslams</t>
  </si>
  <si>
    <t>1.3.3.2.</t>
  </si>
  <si>
    <t>Europos Sąjungos finansinės paramos lėšos turtui įsigyti</t>
  </si>
  <si>
    <t>Rokiškio rajono savivaldybės tarybos</t>
  </si>
  <si>
    <t>8 priedas</t>
  </si>
  <si>
    <t>Projekto pavadinimas</t>
  </si>
  <si>
    <t>ES fondų ar kitų programų lėšos</t>
  </si>
  <si>
    <t>VB</t>
  </si>
  <si>
    <t>Kitos lėšos</t>
  </si>
  <si>
    <t>SB</t>
  </si>
  <si>
    <t>VB lėšos</t>
  </si>
  <si>
    <t>SB lėšos (netinkamos finansuoti)</t>
  </si>
  <si>
    <t>Daugiafunkcės sporto salės Rokiškyje, Taikos g. 21A, statyba</t>
  </si>
  <si>
    <t xml:space="preserve"> Rokiškio r. savivaldybės administracija</t>
  </si>
  <si>
    <t xml:space="preserve">Socialinio būsto fondo plėtra Rokiškio rajono savivaldybėje </t>
  </si>
  <si>
    <t xml:space="preserve">Kompleksinių paslaugų šeimai teikimas Rokiškio rajone Nr. 08.4.1-ESFA-V-416-10-0005 </t>
  </si>
  <si>
    <t>Rokiškio rajono Suvainiškio, Čedasų ir Žiobiškio kadastrinių vietovių dalies melioracijos griovių ir juose esančių statinių rekonstravimas</t>
  </si>
  <si>
    <t>Rokiškio r. savivaldybės administracija</t>
  </si>
  <si>
    <t>Rokiškio rajono Neretėlės upės baseino dalies melioracijos griovių ir juose esančių statinių rekonstravimas</t>
  </si>
  <si>
    <t>Salų dvaro sodybos rūmų pritaikymas kultūriniam turizmui</t>
  </si>
  <si>
    <t>Atsinaujinančių energijos išteklių (75 kW galios saulės elektrinės) diegimas Rokiškio Juozo Tumo-Vaižganto gimnazijoje (Taikos g. 17, Rokiškis)</t>
  </si>
  <si>
    <t xml:space="preserve">Geriatrijos dienos stacionaro ir konsultacinio kabineto įkūrimas VšĮ Rokiškio rajono ligoninėje </t>
  </si>
  <si>
    <t>Rokiškio r. ligoninė</t>
  </si>
  <si>
    <t xml:space="preserve">„Atsinaujinančių energijos šaltinių diegimas VšĮ Rokiškio rajono ligoninėje“ </t>
  </si>
  <si>
    <t xml:space="preserve">Rokiškio rajono, Kupiškio rajono ir Visagino savivaldybių mokyklų sveikatos kabinetų atnaujinimas </t>
  </si>
  <si>
    <t>Salų dvaro kūrybos ir laisvalaikio rezidencija</t>
  </si>
  <si>
    <t>Rokiškio tautodailininkų asociacija</t>
  </si>
  <si>
    <t xml:space="preserve">Kriaunų varpas - bažnyčiai ir sėlių krašto žmonėms </t>
  </si>
  <si>
    <t xml:space="preserve"> Kriaunų Dievo Apvaizdos parapija</t>
  </si>
  <si>
    <t>BĮ Rokiškio baseinas</t>
  </si>
  <si>
    <t>Bajorų kaimo bendruomenė</t>
  </si>
  <si>
    <t>Kokybės krepšelis</t>
  </si>
  <si>
    <t>Rokiškio J. Tumo-Vaižganto gimnazija</t>
  </si>
  <si>
    <t>Veiksmingi ir inovatyvūs požiūriai  į ankstyvą vaikų ugdymą (Effective and Innovative Applications in Early Childhood Education), Nr. 2020-1-TR01-KA229-094127_5. (ERASMUS +</t>
  </si>
  <si>
    <t xml:space="preserve">Rokiškio lopšelis-darželis „Varpelis“ </t>
  </si>
  <si>
    <t>Eil. Nr</t>
  </si>
  <si>
    <t>Projekto vertė iš viso</t>
  </si>
  <si>
    <t>Statybos ir infrastruktūros plėtros skyrius (SIPS)</t>
  </si>
  <si>
    <t>SIPS</t>
  </si>
  <si>
    <t>Gatvės prie gyvenamųjų sklypų kvartalo Rokiškio mieste (tarp Topolių g. ir Pandėlio g.) statyba</t>
  </si>
  <si>
    <t xml:space="preserve">Rokiškio rajono Apaščios, Lailūnų ir Gerkonių kadastrinių vietovių dalies melioracijos griovių ir juose esančių statinių rekonstravimas </t>
  </si>
  <si>
    <t>Rokiškio rajono savivaldybės administracija</t>
  </si>
  <si>
    <t xml:space="preserve">Rokiškio rajono Skemų ir Gindvilių kadastrinių vietovių dalies melioracijos griovių ir juose esančių statinių rekonstravimas </t>
  </si>
  <si>
    <t>Rokiškio mokyklos-darželio ,,Ąžuoliukas“ pastato, Taikos g. 15, LT-42142 Rokiškis, energinio efektyvumo didinimas</t>
  </si>
  <si>
    <t>Socialinės paramos ir sveikatos skyrius (SPSS)</t>
  </si>
  <si>
    <t xml:space="preserve"> Rokiškio r. visuomenės sveikatos biuras</t>
  </si>
  <si>
    <t>Mykolo Romerio pažinimo erdvė (pareiškėjas - Rokiškio r. Obelių gimnazija)</t>
  </si>
  <si>
    <t xml:space="preserve"> Rokiškio r. Obelių gimnazija</t>
  </si>
  <si>
    <t>Švietimo ir sporto skyrius (ŠSS)</t>
  </si>
  <si>
    <t>ŠSS</t>
  </si>
  <si>
    <t>Akredituotas projektas: 2021-1-LT01-KA120-SCH-000046703 pagal programos „Erasmus+“ 1 pagrindinį veiksmą – asmenų mobilumas mokymosi tikslais</t>
  </si>
  <si>
    <t>2023 m. sausio 27 d. sprendimo TS -3</t>
  </si>
  <si>
    <t>Atsinaujinančių energijos šaltinių siegimas Rokiškio Juozo Tumo-Vaižganto gimnazijoje (M.Riomerio g.1, Rokiškis)</t>
  </si>
  <si>
    <t>Juodupės miestelio bendruomenė</t>
  </si>
  <si>
    <t>„Atviros ekosistemos atsiskaitymams negrynaisiais pinigais bendrojo ugdymo įstaigų valgyklose kūrimas“, Nr. 04-002-P-0001</t>
  </si>
  <si>
    <t xml:space="preserve">   KURIEMS REIKALINGAS PRISIDĖJIMAS ,   SĄRAŠAS</t>
  </si>
  <si>
    <t xml:space="preserve">          2023 M. PLANUOJAMŲ VYKDYTI PROJEKTŲ, FINANSUOJAMŲ  ES IR KITŲ FONDŲ PARAMOS, VALSTYBĖS INVESTICIJŲ PROGRAMOS IR                                                </t>
  </si>
  <si>
    <t>Atsinaujinančių energijos išteklių diegimas BĮ "Rokiškio baseinas"</t>
  </si>
  <si>
    <t>Asociacija "Išdrįsk keisti"</t>
  </si>
  <si>
    <t>Asociacija "Tradicinių amatų studija"</t>
  </si>
  <si>
    <t>Pastabos</t>
  </si>
  <si>
    <t>Projektas užbaigtas</t>
  </si>
  <si>
    <t xml:space="preserve">,,Rokiškio rajono dalies melioracijos griovių ir juose esančių statinių rekonstravimas“ </t>
  </si>
  <si>
    <t>SB lėšos (tinkamoms finansuoti išlaidoms  ir apyvartinėms lėšoms)</t>
  </si>
  <si>
    <t>Asignavimų už projektui skirtas 2023 m. SB   lėšas valdytojas</t>
  </si>
  <si>
    <t>,,Mokslo klubas kelyje"</t>
  </si>
  <si>
    <t>,,Natūralios vilnos produktų gamyba"</t>
  </si>
  <si>
    <t xml:space="preserve"> ,,Universaliojo dizaino taikymas ikimokykliniame ugdyme" 2021-2-LT01-KA122-SCH-000042116</t>
  </si>
  <si>
    <t>,,Mano upė tavo"</t>
  </si>
  <si>
    <t xml:space="preserve">Suinteresuotųjų asmenų įtraukimas į viešojo valdymo sprendimų priėmimą Rokiškio rajono savivaldybėje </t>
  </si>
  <si>
    <t xml:space="preserve">Rokiškio lopšelio-darželio „Nykštukas“ pastato (Laisvės g. 15, Rokiškis, unikalus Nr. 7396-5003-1013) modernizavimas </t>
  </si>
  <si>
    <t>SSVP Pro-grama</t>
  </si>
  <si>
    <t>Pareiškėjas / projekto vykdytojas</t>
  </si>
  <si>
    <t>Reikia 2023 metams , tūkst. Eur</t>
  </si>
  <si>
    <t>Lėšos skiriamos laimėtam ,,Maximos" konkurso ,,Mes - bendruomenė" projektui iš dalies finansuoti</t>
  </si>
  <si>
    <t>Perkeltas likutis iš pernai metų (1,64120 + 0,62999 papildomi darbai)</t>
  </si>
  <si>
    <t>Projekto veiklų pabaiga – 2023-03-31</t>
  </si>
  <si>
    <t>Projekto pabaiga – 2025-05-01</t>
  </si>
  <si>
    <t xml:space="preserve">Projekto vykdymo laikotarpis – 2022-04-27–2024-01-15 </t>
  </si>
  <si>
    <t>Projekto vykdymo laikotarpis – 2022-03-01-2023-08-31. Užbaigtas.</t>
  </si>
  <si>
    <t xml:space="preserve">Projekto laikotarpis – nuo 2020-09-29-2023-09-28. SB reikia  3967,80 Eur 2023 m. sausio–rugsėjo mėn. projekto veikloms įgyvendinti. Lėšos bus grąžintos iki 2023-12.
</t>
  </si>
  <si>
    <t xml:space="preserve">Projekto laikotarpis – 2022-02-01-2023-06-30. 2023 m. reikės prisidėti SB   1415,6 Eur. Lėšos bus grąžintos 2023-12 mėn. </t>
  </si>
  <si>
    <t>Vaikų laisvalaikio ir pramogų erdvė Bajoruose,  Nr. ROKI-LEADER-6B-DI-8-1-2021 / 42VS-PV-21-1-09765-PR001</t>
  </si>
  <si>
    <t xml:space="preserve">Projektas bus įgyvendintas 2024-01-31. </t>
  </si>
  <si>
    <t>203,28773</t>
  </si>
  <si>
    <t>Finansuojama KPPP lėšomis. Projektas užbaigtas.</t>
  </si>
  <si>
    <t>2023 rugsėjo mėn. projektas užbaigtas. 11 mėn. gautos galutinės paramos lėšos (buvo planuota, kad parama gali grįžti tik 2024 m. I ketv.)</t>
  </si>
  <si>
    <t xml:space="preserve">2023 m. spalio mėn. projektas užbaigtas. 11 mėn. buvo galutinė NMA patikra. Tikimasi iki 2023-12-31 gauti galutines paramos lėšas. </t>
  </si>
  <si>
    <t>2023 m. pradėti rangos darbai. Gruodžio mėn teiktas II MP, SB prisidėjimas 21 proc. 2024 m. bus teikiami III-IV MP, kuriems bus reikalingas SB prisidėjimas (21 proc. - 22056,60 bei apyvartinės lėšos-41487,61 Eur. Projekto įgyvendinimo pabaiga –  2024-12.</t>
  </si>
  <si>
    <t xml:space="preserve">Projekto planuotos veiklos užbaigtos. </t>
  </si>
  <si>
    <t>0,24200 Tūkst. Eur  (tinkamos finansuoti SB) lėšos bus panaudota 2024 m.</t>
  </si>
  <si>
    <t xml:space="preserve"> Pateiktas galutinis mokėjimo prašymas, SB lėšos panaudotos. Projekto pabaiga 2023-12-31</t>
  </si>
  <si>
    <t xml:space="preserve">Projektas užbaigtas, SB lėšos 5026 Eur iš agentūros  turi būti grąžontos iki gruodžio 15 d. </t>
  </si>
  <si>
    <t>SB lėšų gauta 7.28606 Eur, 2023-12-08 teikiamas prašymas 1.70152 Eur. sumai. Projektas pratęstas,  projekto laikotarpis – 2022 m. balandžio mėn. –2024 m. kovo mėn. Lėšų likutis 2,40742 Eur. bus reikalingas 2024 m.</t>
  </si>
  <si>
    <r>
      <rPr>
        <sz val="10"/>
        <rFont val="Times New Roman"/>
        <family val="1"/>
        <charset val="186"/>
      </rPr>
      <t>Projekto laikotarpis – nuo 2022-06-01 iki 2023-08-31. SB reikia 1843,00 Eur 2023 m. sausio–gegužės mėn. projekto veikloms įgyvendinti. Lėšos bus grąžintos iki 2023-12</t>
    </r>
    <r>
      <rPr>
        <sz val="11"/>
        <rFont val="Times New Roman"/>
        <family val="1"/>
        <charset val="186"/>
      </rPr>
      <t xml:space="preserve"> </t>
    </r>
  </si>
  <si>
    <t>Mokymosi  pagalbai</t>
  </si>
  <si>
    <t>tūkst.Eur</t>
  </si>
  <si>
    <t>2023 m. skirta papildomai  Vyriausybės 2023-09-06 nutarimu Nr. 703  589 tūkst. Eur . Papildomai LRV nutarimu bua  skirta 0,666 mln. Eur. Projekto vertė padidėjo, nes buvo perskaičiuota pagal infliaciją, taip pat atsirado papildomų darbų.</t>
  </si>
  <si>
    <t xml:space="preserve">Projekto veiklų pabaiga – 2023-07-31.  2023 metas CPVA  grąžinus  projekto lėšas,   sugrąžinta bus  Iždui. </t>
  </si>
  <si>
    <t>Projekto pabaiga – 2023 m. gegužės mėn. 2023 m. SB lėšų  nereikės. 2024 m. I ketv. reikės  už saulės  elektrinės priežiūrą 0,726 tūkst.  Eur SB lėšų ir  III ketv. ŠESD ataskaitos pirmų metų  tvirtinimui reikės -0,600 tūkst.  Eur SEB lėšų</t>
  </si>
  <si>
    <r>
      <t xml:space="preserve"> </t>
    </r>
    <r>
      <rPr>
        <sz val="10"/>
        <rFont val="Times New Roman"/>
        <family val="1"/>
        <charset val="186"/>
      </rPr>
      <t>Lėšos gautos ir 2023 m. iš SB papildomų lėšų nebereikės.</t>
    </r>
    <r>
      <rPr>
        <sz val="11"/>
        <rFont val="Times New Roman"/>
        <family val="1"/>
        <charset val="186"/>
      </rPr>
      <t xml:space="preserve"> 2024m. lėšų nebereikės.</t>
    </r>
  </si>
  <si>
    <r>
      <rPr>
        <sz val="10"/>
        <rFont val="Times New Roman"/>
        <family val="1"/>
        <charset val="186"/>
      </rPr>
      <t xml:space="preserve">Projekto pabaiga partęsta iki </t>
    </r>
    <r>
      <rPr>
        <sz val="11"/>
        <rFont val="Times New Roman"/>
        <family val="1"/>
        <charset val="186"/>
      </rPr>
      <t xml:space="preserve">2024-03-22, SB lėšų dalis projekto kofinansavimui (59,532 tūkst. Eur) bus naudojama 2024 m. I ketv. </t>
    </r>
  </si>
  <si>
    <r>
      <rPr>
        <sz val="10"/>
        <rFont val="Times New Roman"/>
        <family val="1"/>
        <charset val="186"/>
      </rPr>
      <t xml:space="preserve"> Projekto pabaiga – 2023 m.</t>
    </r>
    <r>
      <rPr>
        <sz val="11"/>
        <rFont val="Times New Roman"/>
        <family val="1"/>
        <charset val="186"/>
      </rPr>
      <t xml:space="preserve"> Planuotos 2023 m. 1,29000 tūkst. eur bus panaudotos 2024 m.</t>
    </r>
  </si>
  <si>
    <t>Gauta 2023 m. 20.03800 Eur, Projekto pabaiga 2023-12-31</t>
  </si>
  <si>
    <t xml:space="preserve">Projekto laikotarpis – 2023-05-04–2024-09-30. Apyvartinėms projekto įgyvendinimo veikloms apmokėta ir dar iš agentūros nesugrąžinta 0,50448 tūkst. eur skolintis savivaldybės lėšas, kurios visos bus grąžintos iki 2024 m.rugsėjo mėn. </t>
  </si>
  <si>
    <t>1.3.4.2.1.1.9.</t>
  </si>
  <si>
    <t>1.3.4.2.1.1.10.</t>
  </si>
  <si>
    <t>DOTACIJOS (12+15+21+41)</t>
  </si>
  <si>
    <t>Specialioji tikslinė dotacija iš viso (16+...+20)</t>
  </si>
  <si>
    <t xml:space="preserve">  ROKIŠKIO RAJONO SAVIVALDYBĖS 2023 METŲ BIUDŽETO PAJAMOS</t>
  </si>
  <si>
    <t>tūkst.eur</t>
  </si>
  <si>
    <t>1.3.4.4.4.5.20.</t>
  </si>
  <si>
    <t>Kitos dotacijos einamiesiems tikslams (22+...+41)</t>
  </si>
  <si>
    <t>Kitos dotacijos turtui įsigyti (43+...+51)</t>
  </si>
  <si>
    <t>2023 m. vykdyti projekto paraiškos rengimo, tyrinėjimo, projektavimo, ekspertizės bei viešinimo paslaugų pirkimai. Teiktas I MP. Rangos darbai bei II-IV MP bus atliekami 2024 m. II MP teikimui reikalingas SB prisidėjimas (21 proc.),  III-IV MP SB prisidėjimas 21 proc. bei reikalingos apyvartinės lėšos. 2024 m. viso SB prisidėjimas - 46,43481 Eur, reikalingos apyvartinės 43,67084 Eur. Projekto įgyvendinimo pabaiga – 2024-12.</t>
  </si>
  <si>
    <t xml:space="preserve">Lengvatinės paskolos ir MF lėšos, SB lėšos – netinkamoms finansuoti neergetinio efektyvumo išlaidoms ir inžinerinėms paslaugoms. 2024 m. bus reikalingos SB lėšos : 105,71338 tūkst. Eur. lėšos sutarties vykdymui , 15,38908 tūks. Eur- lėšos  gaisrinės signalizacijos, automatikos įrengimui papildomai.   </t>
  </si>
  <si>
    <t>2023 m. lapkričio mėn. pateikta projekto paraiška. SB lėšos skirtos tyrinėjimo bei paraiškos rengimo paslaugoms pirkti. Jeigu paraiška būtų įvertinta teigiamai, projektas būtų įgyvendinamas 2024–2025 m. Numatoma rekonstruoti apie 19,644 km melioracijos griovių ir 2 tiltus .</t>
  </si>
  <si>
    <t>Dotacija savivaldybės vykdomų projektų nuosavai daliai finansuoti</t>
  </si>
  <si>
    <t>1.3.4.2.1.1.11.</t>
  </si>
  <si>
    <t>KITOS PAJAMOS (54+598+60+ 63+64)</t>
  </si>
  <si>
    <t>Turto pajamos(55+56+57+58)</t>
  </si>
  <si>
    <t>Rinkliavos(61+62)</t>
  </si>
  <si>
    <t>VISI MOKESČIAI, PAJAMOS IR DOTACIJOS(1+11+53+65)</t>
  </si>
  <si>
    <t>KITOS DOTACIJOS (36+46+48+60+62+70+74)</t>
  </si>
  <si>
    <t xml:space="preserve">                                                                                                                          (Rokiškio rajono savivaldybės tarybos</t>
  </si>
  <si>
    <t xml:space="preserve">                                                                                                                         Rokiškio rajono savivaldybės tarybos </t>
  </si>
  <si>
    <t xml:space="preserve">                                                                                                                            2023 m. sausio 27 d. sprendimo Nr. TS-3</t>
  </si>
  <si>
    <t>2023 m. gruodžio 21 d. sprendimo Nr. TS-344</t>
  </si>
  <si>
    <t xml:space="preserve">                                                                               2023 m.gruodžio 21 d. sprendimo Nr. TS-344</t>
  </si>
  <si>
    <r>
      <t xml:space="preserve">                                                                                     </t>
    </r>
    <r>
      <rPr>
        <sz val="12"/>
        <rFont val="Times New Roman"/>
        <family val="1"/>
        <charset val="186"/>
      </rPr>
      <t>(Rokiškio rajono savivaldybės tarybos</t>
    </r>
  </si>
  <si>
    <r>
      <t xml:space="preserve">                                                                                  </t>
    </r>
    <r>
      <rPr>
        <sz val="12"/>
        <rFont val="Times New Roman"/>
        <family val="1"/>
        <charset val="186"/>
      </rPr>
      <t xml:space="preserve">   redakcija)</t>
    </r>
  </si>
  <si>
    <t xml:space="preserve">                                                                         1 priedas</t>
  </si>
  <si>
    <t xml:space="preserve">        2023 m. gruodžio 21 d. sprendimo Nr. TS-344</t>
  </si>
  <si>
    <t xml:space="preserve">                                                                           redakcija)</t>
  </si>
  <si>
    <t xml:space="preserve">       2023 m. gruodžio 21 d. sprendimo Nr. TS-344</t>
  </si>
  <si>
    <t xml:space="preserve">      3 priedas</t>
  </si>
  <si>
    <t xml:space="preserve">       redakcija)</t>
  </si>
  <si>
    <t xml:space="preserve">                        2023 m. guodžio 21 d. sprendimo Nr. TS-344</t>
  </si>
  <si>
    <t>2023 m. gruodžio 21  d. sprendimo Nr. TS-344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</si>
</sst>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_-* #,##0.00\ _L_t_-;\-* #,##0.00\ _L_t_-;_-* &quot;-&quot;??\ _L_t_-;_-@_-"/>
    <numFmt numFmtId="166" formatCode="0.0"/>
    <numFmt numFmtId="167" formatCode="0.000"/>
    <numFmt numFmtId="168" formatCode="0.0000"/>
    <numFmt numFmtId="169" formatCode="0.00000"/>
    <numFmt numFmtId="170" formatCode="0.000000"/>
  </numFmts>
  <fonts count="45"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Times New Roman"/>
      <family val="1"/>
      <charset val="186"/>
    </font>
    <font>
      <b/>
      <sz val="12"/>
      <name val="Times New Roman"/>
      <family val="1"/>
      <charset val="186"/>
    </font>
    <font>
      <sz val="10"/>
      <name val="Times New Roman"/>
      <family val="1"/>
      <charset val="186"/>
    </font>
    <font>
      <sz val="8"/>
      <name val="Arial"/>
      <family val="2"/>
      <charset val="186"/>
    </font>
    <font>
      <sz val="10"/>
      <name val="Arial"/>
      <family val="2"/>
      <charset val="186"/>
    </font>
    <font>
      <b/>
      <sz val="10"/>
      <name val="Arial"/>
      <family val="2"/>
      <charset val="186"/>
    </font>
    <font>
      <b/>
      <sz val="8"/>
      <name val="Arial"/>
      <family val="2"/>
      <charset val="186"/>
    </font>
    <font>
      <sz val="9"/>
      <name val="Arial"/>
      <family val="2"/>
      <charset val="186"/>
    </font>
    <font>
      <i/>
      <sz val="10"/>
      <name val="Arial"/>
      <family val="2"/>
      <charset val="186"/>
    </font>
    <font>
      <b/>
      <sz val="9"/>
      <name val="Arial"/>
      <family val="2"/>
      <charset val="186"/>
    </font>
    <font>
      <b/>
      <sz val="12"/>
      <name val="Arial"/>
      <family val="2"/>
      <charset val="186"/>
    </font>
    <font>
      <sz val="10"/>
      <color indexed="10"/>
      <name val="Arial"/>
      <family val="2"/>
      <charset val="186"/>
    </font>
    <font>
      <b/>
      <sz val="11"/>
      <name val="Arial"/>
      <family val="2"/>
      <charset val="186"/>
    </font>
    <font>
      <i/>
      <sz val="9"/>
      <name val="Arial"/>
      <family val="2"/>
      <charset val="186"/>
    </font>
    <font>
      <sz val="10"/>
      <color indexed="8"/>
      <name val="Arial"/>
      <family val="2"/>
    </font>
    <font>
      <sz val="10"/>
      <color indexed="8"/>
      <name val="Arial"/>
      <family val="2"/>
      <charset val="186"/>
    </font>
    <font>
      <b/>
      <sz val="11"/>
      <name val="Times New Roman"/>
      <family val="1"/>
      <charset val="186"/>
    </font>
    <font>
      <sz val="11"/>
      <color theme="1"/>
      <name val="Calibri"/>
      <family val="2"/>
      <charset val="186"/>
      <scheme val="minor"/>
    </font>
    <font>
      <sz val="10"/>
      <color rgb="FF000000"/>
      <name val="Arial"/>
      <family val="2"/>
      <charset val="186"/>
    </font>
    <font>
      <i/>
      <sz val="12"/>
      <name val="Times New Roman"/>
      <family val="1"/>
      <charset val="186"/>
    </font>
    <font>
      <sz val="12"/>
      <color theme="1"/>
      <name val="Times New Roman"/>
      <family val="1"/>
      <charset val="186"/>
    </font>
    <font>
      <sz val="11"/>
      <name val="Arial"/>
      <family val="2"/>
      <charset val="186"/>
    </font>
    <font>
      <b/>
      <sz val="10"/>
      <name val="Times New Roman"/>
      <family val="1"/>
      <charset val="186"/>
    </font>
    <font>
      <b/>
      <i/>
      <sz val="12"/>
      <name val="Times New Roman"/>
      <family val="1"/>
      <charset val="186"/>
    </font>
    <font>
      <sz val="8"/>
      <name val="Times New Roman"/>
      <family val="1"/>
      <charset val="186"/>
    </font>
    <font>
      <b/>
      <i/>
      <sz val="10"/>
      <name val="Times New Roman"/>
      <family val="1"/>
      <charset val="186"/>
    </font>
    <font>
      <sz val="10"/>
      <color theme="1"/>
      <name val="Arial"/>
      <family val="2"/>
      <charset val="186"/>
    </font>
    <font>
      <b/>
      <strike/>
      <sz val="10"/>
      <name val="Arial"/>
      <family val="2"/>
      <charset val="186"/>
    </font>
    <font>
      <strike/>
      <sz val="10"/>
      <name val="Arial"/>
      <family val="2"/>
      <charset val="186"/>
    </font>
    <font>
      <i/>
      <sz val="10"/>
      <color theme="1"/>
      <name val="Arial"/>
      <family val="2"/>
      <charset val="186"/>
    </font>
    <font>
      <b/>
      <sz val="10"/>
      <color rgb="FFFF0000"/>
      <name val="Arial"/>
      <family val="2"/>
      <charset val="186"/>
    </font>
    <font>
      <sz val="10"/>
      <color rgb="FFFF0000"/>
      <name val="Arial"/>
      <family val="2"/>
      <charset val="186"/>
    </font>
    <font>
      <sz val="11"/>
      <name val="Times New Roman"/>
      <family val="1"/>
      <charset val="186"/>
    </font>
    <font>
      <sz val="12"/>
      <color rgb="FFFF0000"/>
      <name val="Times New Roman"/>
      <family val="1"/>
      <charset val="186"/>
    </font>
    <font>
      <sz val="10"/>
      <color rgb="FFFF0000"/>
      <name val="Times New Roman"/>
      <family val="1"/>
      <charset val="186"/>
    </font>
    <font>
      <b/>
      <sz val="11"/>
      <color rgb="FFFF0000"/>
      <name val="Arial"/>
      <family val="2"/>
      <charset val="186"/>
    </font>
    <font>
      <b/>
      <sz val="10"/>
      <color theme="1"/>
      <name val="Arial"/>
      <family val="2"/>
      <charset val="186"/>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79998168889431442"/>
        <bgColor indexed="64"/>
      </patternFill>
    </fill>
  </fills>
  <borders count="213">
    <border>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style="thin">
        <color indexed="8"/>
      </right>
      <top style="thin">
        <color indexed="8"/>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0"/>
      </right>
      <top style="medium">
        <color indexed="64"/>
      </top>
      <bottom style="medium">
        <color indexed="64"/>
      </bottom>
      <diagonal/>
    </border>
    <border>
      <left/>
      <right style="thin">
        <color indexed="0"/>
      </right>
      <top/>
      <bottom style="thin">
        <color indexed="0"/>
      </bottom>
      <diagonal/>
    </border>
    <border>
      <left style="thin">
        <color indexed="0"/>
      </left>
      <right style="medium">
        <color indexed="64"/>
      </right>
      <top style="medium">
        <color indexed="64"/>
      </top>
      <bottom style="thin">
        <color indexed="0"/>
      </bottom>
      <diagonal/>
    </border>
    <border>
      <left style="medium">
        <color indexed="64"/>
      </left>
      <right style="thin">
        <color indexed="0"/>
      </right>
      <top style="thin">
        <color indexed="0"/>
      </top>
      <bottom style="thin">
        <color indexed="0"/>
      </bottom>
      <diagonal/>
    </border>
    <border>
      <left style="thin">
        <color indexed="0"/>
      </left>
      <right style="medium">
        <color indexed="64"/>
      </right>
      <top style="thin">
        <color indexed="0"/>
      </top>
      <bottom style="thin">
        <color indexed="0"/>
      </bottom>
      <diagonal/>
    </border>
    <border>
      <left style="medium">
        <color indexed="64"/>
      </left>
      <right style="thin">
        <color indexed="0"/>
      </right>
      <top/>
      <bottom style="thin">
        <color indexed="0"/>
      </bottom>
      <diagonal/>
    </border>
    <border>
      <left style="thin">
        <color indexed="0"/>
      </left>
      <right style="medium">
        <color indexed="64"/>
      </right>
      <top/>
      <bottom style="thin">
        <color indexed="0"/>
      </bottom>
      <diagonal/>
    </border>
    <border>
      <left style="medium">
        <color indexed="64"/>
      </left>
      <right style="thin">
        <color indexed="0"/>
      </right>
      <top style="medium">
        <color indexed="0"/>
      </top>
      <bottom style="medium">
        <color indexed="0"/>
      </bottom>
      <diagonal/>
    </border>
    <border>
      <left style="thin">
        <color indexed="0"/>
      </left>
      <right style="medium">
        <color indexed="64"/>
      </right>
      <top style="medium">
        <color indexed="0"/>
      </top>
      <bottom style="medium">
        <color indexed="0"/>
      </bottom>
      <diagonal/>
    </border>
    <border>
      <left/>
      <right style="medium">
        <color indexed="64"/>
      </right>
      <top/>
      <bottom style="thin">
        <color indexed="0"/>
      </bottom>
      <diagonal/>
    </border>
    <border>
      <left style="medium">
        <color indexed="64"/>
      </left>
      <right/>
      <top/>
      <bottom style="thin">
        <color indexed="0"/>
      </bottom>
      <diagonal/>
    </border>
    <border>
      <left style="thin">
        <color indexed="0"/>
      </left>
      <right style="medium">
        <color indexed="64"/>
      </right>
      <top style="medium">
        <color indexed="0"/>
      </top>
      <bottom/>
      <diagonal/>
    </border>
    <border>
      <left style="medium">
        <color indexed="64"/>
      </left>
      <right/>
      <top style="medium">
        <color indexed="0"/>
      </top>
      <bottom style="medium">
        <color indexed="0"/>
      </bottom>
      <diagonal/>
    </border>
    <border>
      <left style="medium">
        <color indexed="64"/>
      </left>
      <right style="thin">
        <color indexed="0"/>
      </right>
      <top style="medium">
        <color indexed="64"/>
      </top>
      <bottom style="medium">
        <color indexed="64"/>
      </bottom>
      <diagonal/>
    </border>
    <border>
      <left style="thin">
        <color indexed="0"/>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0"/>
      </right>
      <top style="medium">
        <color indexed="64"/>
      </top>
      <bottom style="thin">
        <color indexed="0"/>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8"/>
      </left>
      <right style="medium">
        <color indexed="64"/>
      </right>
      <top style="thin">
        <color indexed="8"/>
      </top>
      <bottom/>
      <diagonal/>
    </border>
    <border>
      <left style="thin">
        <color indexed="8"/>
      </left>
      <right/>
      <top style="thin">
        <color indexed="8"/>
      </top>
      <bottom/>
      <diagonal/>
    </border>
    <border>
      <left style="thin">
        <color indexed="8"/>
      </left>
      <right/>
      <top style="medium">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right style="thin">
        <color indexed="8"/>
      </right>
      <top style="medium">
        <color indexed="64"/>
      </top>
      <bottom style="thin">
        <color indexed="8"/>
      </bottom>
      <diagonal/>
    </border>
    <border>
      <left/>
      <right style="thin">
        <color indexed="8"/>
      </right>
      <top style="thin">
        <color indexed="8"/>
      </top>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rgb="FF000000"/>
      </bottom>
      <diagonal/>
    </border>
    <border>
      <left style="medium">
        <color indexed="64"/>
      </left>
      <right/>
      <top style="medium">
        <color indexed="64"/>
      </top>
      <bottom style="thin">
        <color rgb="FF000000"/>
      </bottom>
      <diagonal/>
    </border>
    <border>
      <left style="medium">
        <color indexed="64"/>
      </left>
      <right style="thin">
        <color indexed="0"/>
      </right>
      <top style="medium">
        <color indexed="0"/>
      </top>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0"/>
      </right>
      <top style="medium">
        <color indexed="64"/>
      </top>
      <bottom style="thin">
        <color indexed="64"/>
      </bottom>
      <diagonal/>
    </border>
    <border>
      <left style="thin">
        <color indexed="0"/>
      </left>
      <right style="medium">
        <color indexed="64"/>
      </right>
      <top style="medium">
        <color indexed="64"/>
      </top>
      <bottom style="thin">
        <color indexed="64"/>
      </bottom>
      <diagonal/>
    </border>
    <border>
      <left style="medium">
        <color indexed="64"/>
      </left>
      <right style="thin">
        <color indexed="0"/>
      </right>
      <top/>
      <bottom style="thin">
        <color indexed="64"/>
      </bottom>
      <diagonal/>
    </border>
    <border>
      <left style="thin">
        <color indexed="0"/>
      </left>
      <right style="medium">
        <color indexed="64"/>
      </right>
      <top/>
      <bottom style="thin">
        <color indexed="64"/>
      </bottom>
      <diagonal/>
    </border>
    <border>
      <left/>
      <right/>
      <top/>
      <bottom style="medium">
        <color indexed="64"/>
      </bottom>
      <diagonal/>
    </border>
    <border>
      <left style="medium">
        <color indexed="64"/>
      </left>
      <right style="thin">
        <color indexed="0"/>
      </right>
      <top/>
      <bottom style="medium">
        <color indexed="0"/>
      </bottom>
      <diagonal/>
    </border>
    <border>
      <left style="thin">
        <color indexed="0"/>
      </left>
      <right style="medium">
        <color indexed="64"/>
      </right>
      <top/>
      <bottom style="medium">
        <color indexed="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medium">
        <color indexed="64"/>
      </right>
      <top style="medium">
        <color indexed="64"/>
      </top>
      <bottom style="thin">
        <color indexed="0"/>
      </bottom>
      <diagonal/>
    </border>
    <border>
      <left style="medium">
        <color indexed="64"/>
      </left>
      <right style="medium">
        <color indexed="64"/>
      </right>
      <top/>
      <bottom style="thin">
        <color indexed="0"/>
      </bottom>
      <diagonal/>
    </border>
    <border>
      <left style="thin">
        <color indexed="0"/>
      </left>
      <right/>
      <top/>
      <bottom style="thin">
        <color indexed="0"/>
      </bottom>
      <diagonal/>
    </border>
    <border>
      <left style="medium">
        <color indexed="64"/>
      </left>
      <right/>
      <top/>
      <bottom style="medium">
        <color indexed="0"/>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0"/>
      </right>
      <top style="thin">
        <color indexed="0"/>
      </top>
      <bottom/>
      <diagonal/>
    </border>
    <border>
      <left/>
      <right style="medium">
        <color indexed="64"/>
      </right>
      <top style="thin">
        <color indexed="0"/>
      </top>
      <bottom style="thin">
        <color indexed="0"/>
      </bottom>
      <diagonal/>
    </border>
    <border>
      <left/>
      <right style="thin">
        <color indexed="64"/>
      </right>
      <top style="thin">
        <color indexed="64"/>
      </top>
      <bottom style="thin">
        <color indexed="64"/>
      </bottom>
      <diagonal/>
    </border>
    <border>
      <left/>
      <right/>
      <top style="medium">
        <color indexed="64"/>
      </top>
      <bottom style="thin">
        <color rgb="FF000000"/>
      </bottom>
      <diagonal/>
    </border>
    <border>
      <left style="thin">
        <color indexed="8"/>
      </left>
      <right/>
      <top style="thin">
        <color indexed="8"/>
      </top>
      <bottom style="medium">
        <color indexed="64"/>
      </bottom>
      <diagonal/>
    </border>
    <border>
      <left style="thin">
        <color indexed="64"/>
      </left>
      <right/>
      <top style="thin">
        <color indexed="64"/>
      </top>
      <bottom/>
      <diagonal/>
    </border>
    <border>
      <left style="medium">
        <color indexed="64"/>
      </left>
      <right/>
      <top style="thin">
        <color indexed="8"/>
      </top>
      <bottom/>
      <diagonal/>
    </border>
    <border>
      <left style="medium">
        <color indexed="64"/>
      </left>
      <right style="thin">
        <color indexed="64"/>
      </right>
      <top style="thin">
        <color indexed="64"/>
      </top>
      <bottom/>
      <diagonal/>
    </border>
    <border>
      <left style="thin">
        <color rgb="FF000000"/>
      </left>
      <right/>
      <top style="thin">
        <color rgb="FF000000"/>
      </top>
      <bottom style="medium">
        <color indexed="64"/>
      </bottom>
      <diagonal/>
    </border>
    <border>
      <left/>
      <right/>
      <top style="thin">
        <color indexed="0"/>
      </top>
      <bottom style="thin">
        <color indexed="0"/>
      </bottom>
      <diagonal/>
    </border>
    <border>
      <left style="thin">
        <color indexed="0"/>
      </left>
      <right/>
      <top style="thin">
        <color indexed="0"/>
      </top>
      <bottom/>
      <diagonal/>
    </border>
    <border>
      <left style="thin">
        <color indexed="0"/>
      </left>
      <right/>
      <top style="medium">
        <color indexed="64"/>
      </top>
      <bottom style="thin">
        <color indexed="64"/>
      </bottom>
      <diagonal/>
    </border>
    <border>
      <left style="thin">
        <color indexed="0"/>
      </left>
      <right/>
      <top style="thin">
        <color indexed="0"/>
      </top>
      <bottom style="thin">
        <color indexed="64"/>
      </bottom>
      <diagonal/>
    </border>
    <border>
      <left style="thin">
        <color indexed="0"/>
      </left>
      <right/>
      <top/>
      <bottom style="thin">
        <color indexed="64"/>
      </bottom>
      <diagonal/>
    </border>
    <border>
      <left style="thin">
        <color indexed="0"/>
      </left>
      <right/>
      <top style="medium">
        <color indexed="64"/>
      </top>
      <bottom style="medium">
        <color indexed="64"/>
      </bottom>
      <diagonal/>
    </border>
    <border>
      <left style="medium">
        <color indexed="64"/>
      </left>
      <right/>
      <top style="thin">
        <color indexed="0"/>
      </top>
      <bottom style="thin">
        <color indexed="0"/>
      </bottom>
      <diagonal/>
    </border>
    <border>
      <left style="medium">
        <color indexed="64"/>
      </left>
      <right/>
      <top style="thin">
        <color indexed="0"/>
      </top>
      <bottom/>
      <diagonal/>
    </border>
    <border>
      <left style="medium">
        <color indexed="64"/>
      </left>
      <right/>
      <top style="medium">
        <color indexed="64"/>
      </top>
      <bottom style="thin">
        <color indexed="0"/>
      </bottom>
      <diagonal/>
    </border>
    <border>
      <left style="medium">
        <color indexed="64"/>
      </left>
      <right/>
      <top style="thin">
        <color indexed="0"/>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0"/>
      </top>
      <bottom style="thin">
        <color indexed="0"/>
      </bottom>
      <diagonal/>
    </border>
    <border>
      <left/>
      <right style="medium">
        <color indexed="64"/>
      </right>
      <top style="thin">
        <color indexed="64"/>
      </top>
      <bottom style="thin">
        <color indexed="64"/>
      </bottom>
      <diagonal/>
    </border>
    <border>
      <left style="thin">
        <color indexed="64"/>
      </left>
      <right/>
      <top style="thin">
        <color indexed="0"/>
      </top>
      <bottom style="thin">
        <color indexed="64"/>
      </bottom>
      <diagonal/>
    </border>
    <border>
      <left style="thin">
        <color indexed="64"/>
      </left>
      <right/>
      <top style="thin">
        <color indexed="0"/>
      </top>
      <bottom style="thin">
        <color indexed="0"/>
      </bottom>
      <diagonal/>
    </border>
    <border>
      <left/>
      <right style="thin">
        <color indexed="0"/>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style="medium">
        <color indexed="0"/>
      </bottom>
      <diagonal/>
    </border>
    <border>
      <left style="medium">
        <color indexed="64"/>
      </left>
      <right style="thin">
        <color indexed="0"/>
      </right>
      <top style="thin">
        <color indexed="0"/>
      </top>
      <bottom style="thin">
        <color indexed="0"/>
      </bottom>
      <diagonal/>
    </border>
    <border>
      <left style="thin">
        <color indexed="0"/>
      </left>
      <right style="medium">
        <color indexed="64"/>
      </right>
      <top style="thin">
        <color indexed="0"/>
      </top>
      <bottom style="thin">
        <color indexed="0"/>
      </bottom>
      <diagonal/>
    </border>
    <border>
      <left style="medium">
        <color indexed="64"/>
      </left>
      <right style="thin">
        <color indexed="0"/>
      </right>
      <top style="thin">
        <color indexed="0"/>
      </top>
      <bottom/>
      <diagonal/>
    </border>
    <border>
      <left style="thin">
        <color indexed="0"/>
      </left>
      <right style="medium">
        <color indexed="64"/>
      </right>
      <top style="thin">
        <color indexed="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0"/>
      </right>
      <top style="thin">
        <color indexed="0"/>
      </top>
      <bottom style="medium">
        <color indexed="64"/>
      </bottom>
      <diagonal/>
    </border>
    <border>
      <left style="thin">
        <color indexed="0"/>
      </left>
      <right style="medium">
        <color indexed="64"/>
      </right>
      <top style="thin">
        <color indexed="0"/>
      </top>
      <bottom style="medium">
        <color indexed="64"/>
      </bottom>
      <diagonal/>
    </border>
    <border>
      <left style="thin">
        <color indexed="0"/>
      </left>
      <right/>
      <top style="medium">
        <color indexed="0"/>
      </top>
      <bottom/>
      <diagonal/>
    </border>
    <border>
      <left style="thin">
        <color indexed="0"/>
      </left>
      <right/>
      <top style="medium">
        <color indexed="0"/>
      </top>
      <bottom style="thin">
        <color indexed="0"/>
      </bottom>
      <diagonal/>
    </border>
    <border>
      <left style="thin">
        <color indexed="0"/>
      </left>
      <right/>
      <top style="thin">
        <color indexed="0"/>
      </top>
      <bottom style="thin">
        <color indexed="0"/>
      </bottom>
      <diagonal/>
    </border>
    <border>
      <left style="thin">
        <color indexed="64"/>
      </left>
      <right/>
      <top style="thin">
        <color indexed="64"/>
      </top>
      <bottom style="thin">
        <color indexed="64"/>
      </bottom>
      <diagonal/>
    </border>
    <border>
      <left style="thin">
        <color indexed="0"/>
      </left>
      <right/>
      <top style="thin">
        <color indexed="0"/>
      </top>
      <bottom style="medium">
        <color indexed="0"/>
      </bottom>
      <diagonal/>
    </border>
    <border>
      <left style="thin">
        <color indexed="64"/>
      </left>
      <right style="medium">
        <color indexed="64"/>
      </right>
      <top style="thin">
        <color indexed="64"/>
      </top>
      <bottom style="thin">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thin">
        <color indexed="0"/>
      </bottom>
      <diagonal/>
    </border>
    <border>
      <left/>
      <right/>
      <top/>
      <bottom style="thin">
        <color indexed="0"/>
      </bottom>
      <diagonal/>
    </border>
    <border>
      <left/>
      <right/>
      <top style="thin">
        <color indexed="64"/>
      </top>
      <bottom style="thin">
        <color indexed="64"/>
      </bottom>
      <diagonal/>
    </border>
    <border>
      <left style="thin">
        <color indexed="64"/>
      </left>
      <right style="medium">
        <color indexed="64"/>
      </right>
      <top/>
      <bottom style="thin">
        <color indexed="0"/>
      </bottom>
      <diagonal/>
    </border>
    <border>
      <left style="medium">
        <color indexed="64"/>
      </left>
      <right style="medium">
        <color indexed="64"/>
      </right>
      <top style="thin">
        <color indexed="0"/>
      </top>
      <bottom style="thin">
        <color indexed="0"/>
      </bottom>
      <diagonal/>
    </border>
    <border>
      <left style="medium">
        <color indexed="64"/>
      </left>
      <right style="medium">
        <color indexed="64"/>
      </right>
      <top style="thin">
        <color indexed="0"/>
      </top>
      <bottom/>
      <diagonal/>
    </border>
    <border>
      <left style="medium">
        <color indexed="64"/>
      </left>
      <right style="thin">
        <color indexed="64"/>
      </right>
      <top style="thin">
        <color indexed="64"/>
      </top>
      <bottom style="thin">
        <color indexed="0"/>
      </bottom>
      <diagonal/>
    </border>
    <border>
      <left style="medium">
        <color indexed="64"/>
      </left>
      <right style="medium">
        <color indexed="64"/>
      </right>
      <top style="thin">
        <color indexed="0"/>
      </top>
      <bottom style="medium">
        <color indexed="64"/>
      </bottom>
      <diagonal/>
    </border>
    <border>
      <left style="medium">
        <color indexed="64"/>
      </left>
      <right style="thin">
        <color indexed="0"/>
      </right>
      <top style="thin">
        <color indexed="0"/>
      </top>
      <bottom style="medium">
        <color indexed="0"/>
      </bottom>
      <diagonal/>
    </border>
    <border>
      <left style="thin">
        <color indexed="0"/>
      </left>
      <right style="medium">
        <color indexed="64"/>
      </right>
      <top style="thin">
        <color indexed="0"/>
      </top>
      <bottom style="medium">
        <color indexed="0"/>
      </bottom>
      <diagonal/>
    </border>
    <border>
      <left style="medium">
        <color indexed="64"/>
      </left>
      <right style="thin">
        <color indexed="0"/>
      </right>
      <top style="thin">
        <color indexed="0"/>
      </top>
      <bottom style="thin">
        <color indexed="64"/>
      </bottom>
      <diagonal/>
    </border>
    <border>
      <left style="thin">
        <color indexed="0"/>
      </left>
      <right style="medium">
        <color indexed="64"/>
      </right>
      <top style="thin">
        <color indexed="0"/>
      </top>
      <bottom style="thin">
        <color indexed="64"/>
      </bottom>
      <diagonal/>
    </border>
    <border>
      <left/>
      <right style="thin">
        <color indexed="0"/>
      </right>
      <top style="thin">
        <color indexed="0"/>
      </top>
      <bottom style="thin">
        <color indexed="64"/>
      </bottom>
      <diagonal/>
    </border>
    <border>
      <left style="thin">
        <color indexed="0"/>
      </left>
      <right style="medium">
        <color indexed="64"/>
      </right>
      <top style="thin">
        <color indexed="64"/>
      </top>
      <bottom style="thin">
        <color indexed="64"/>
      </bottom>
      <diagonal/>
    </border>
    <border>
      <left style="thin">
        <color indexed="64"/>
      </left>
      <right style="thin">
        <color indexed="64"/>
      </right>
      <top/>
      <bottom/>
      <diagonal/>
    </border>
    <border>
      <left style="thin">
        <color indexed="0"/>
      </left>
      <right style="medium">
        <color indexed="64"/>
      </right>
      <top/>
      <bottom/>
      <diagonal/>
    </border>
    <border>
      <left style="medium">
        <color indexed="64"/>
      </left>
      <right style="thin">
        <color indexed="0"/>
      </right>
      <top style="medium">
        <color indexed="64"/>
      </top>
      <bottom/>
      <diagonal/>
    </border>
    <border>
      <left style="thin">
        <color indexed="0"/>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0"/>
      </top>
      <bottom style="medium">
        <color indexed="64"/>
      </bottom>
      <diagonal/>
    </border>
    <border>
      <left style="thin">
        <color indexed="64"/>
      </left>
      <right/>
      <top style="thin">
        <color indexed="64"/>
      </top>
      <bottom style="thin">
        <color indexed="0"/>
      </bottom>
      <diagonal/>
    </border>
    <border>
      <left/>
      <right style="thin">
        <color indexed="0"/>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0"/>
      </top>
      <bottom style="thin">
        <color indexed="64"/>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style="thin">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64"/>
      </right>
      <top style="thin">
        <color indexed="64"/>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s>
  <cellStyleXfs count="3491">
    <xf numFmtId="0" fontId="0" fillId="0" borderId="0"/>
    <xf numFmtId="0" fontId="22" fillId="0" borderId="0"/>
    <xf numFmtId="0" fontId="26" fillId="0" borderId="0"/>
    <xf numFmtId="0" fontId="23" fillId="0" borderId="0"/>
    <xf numFmtId="0" fontId="12" fillId="0" borderId="0"/>
    <xf numFmtId="0" fontId="26" fillId="0" borderId="0"/>
    <xf numFmtId="0" fontId="26" fillId="0" borderId="0"/>
    <xf numFmtId="0" fontId="26" fillId="0" borderId="0"/>
    <xf numFmtId="0" fontId="25" fillId="0" borderId="0"/>
    <xf numFmtId="0" fontId="12" fillId="0" borderId="0"/>
    <xf numFmtId="0" fontId="26" fillId="0" borderId="0"/>
    <xf numFmtId="0" fontId="26" fillId="0" borderId="0"/>
    <xf numFmtId="0" fontId="26" fillId="0" borderId="0"/>
    <xf numFmtId="0" fontId="7" fillId="0" borderId="0"/>
    <xf numFmtId="0" fontId="7" fillId="0" borderId="0"/>
    <xf numFmtId="0" fontId="7" fillId="0" borderId="0"/>
    <xf numFmtId="0" fontId="7" fillId="0" borderId="0"/>
    <xf numFmtId="0" fontId="7" fillId="0" borderId="0"/>
    <xf numFmtId="0" fontId="7" fillId="0" borderId="0"/>
    <xf numFmtId="165" fontId="12" fillId="0" borderId="0" applyFont="0" applyFill="0" applyBorder="0" applyAlignment="0" applyProtection="0"/>
    <xf numFmtId="165" fontId="12" fillId="0" borderId="0" applyFont="0" applyFill="0" applyBorder="0" applyAlignment="0" applyProtection="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12" fillId="0" borderId="0" applyFont="0" applyFill="0" applyBorder="0" applyAlignment="0" applyProtection="0"/>
    <xf numFmtId="165" fontId="1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39">
    <xf numFmtId="0" fontId="0" fillId="0" borderId="0" xfId="0"/>
    <xf numFmtId="0" fontId="8" fillId="0" borderId="0" xfId="0" applyFont="1"/>
    <xf numFmtId="0" fontId="9" fillId="0" borderId="0" xfId="0" applyFont="1"/>
    <xf numFmtId="0" fontId="14" fillId="0" borderId="0" xfId="0" applyFont="1"/>
    <xf numFmtId="16" fontId="0" fillId="0" borderId="0" xfId="0" applyNumberFormat="1"/>
    <xf numFmtId="0" fontId="13" fillId="0" borderId="0" xfId="0" applyFont="1"/>
    <xf numFmtId="0" fontId="12" fillId="0" borderId="0" xfId="0" applyFont="1"/>
    <xf numFmtId="167" fontId="0" fillId="3" borderId="1" xfId="0" applyNumberFormat="1" applyFill="1" applyBorder="1"/>
    <xf numFmtId="0" fontId="11" fillId="0" borderId="0" xfId="0" applyFont="1"/>
    <xf numFmtId="0" fontId="12" fillId="0" borderId="5" xfId="9" applyBorder="1" applyAlignment="1">
      <alignment horizontal="left" vertical="center" wrapText="1"/>
    </xf>
    <xf numFmtId="167" fontId="12" fillId="0" borderId="6" xfId="0" applyNumberFormat="1" applyFont="1" applyBorder="1"/>
    <xf numFmtId="0" fontId="12" fillId="0" borderId="2" xfId="9" applyBorder="1" applyAlignment="1">
      <alignment horizontal="center" vertical="center" wrapText="1"/>
    </xf>
    <xf numFmtId="167" fontId="12" fillId="0" borderId="7" xfId="0" applyNumberFormat="1" applyFont="1" applyBorder="1"/>
    <xf numFmtId="167" fontId="12" fillId="0" borderId="3" xfId="9" applyNumberFormat="1" applyBorder="1" applyAlignment="1">
      <alignment horizontal="right" vertical="center" wrapText="1"/>
    </xf>
    <xf numFmtId="0" fontId="12" fillId="0" borderId="5" xfId="0" applyFont="1" applyBorder="1"/>
    <xf numFmtId="167" fontId="12" fillId="0" borderId="3" xfId="0" applyNumberFormat="1" applyFont="1" applyBorder="1"/>
    <xf numFmtId="0" fontId="12" fillId="0" borderId="3" xfId="9" applyBorder="1" applyAlignment="1">
      <alignment horizontal="right" vertical="center" wrapText="1"/>
    </xf>
    <xf numFmtId="0" fontId="13" fillId="0" borderId="5" xfId="0" applyFont="1" applyBorder="1"/>
    <xf numFmtId="167" fontId="13" fillId="0" borderId="6" xfId="0" applyNumberFormat="1" applyFont="1" applyBorder="1"/>
    <xf numFmtId="167" fontId="13" fillId="0" borderId="3" xfId="0" applyNumberFormat="1" applyFont="1" applyBorder="1"/>
    <xf numFmtId="167" fontId="13" fillId="0" borderId="2" xfId="0" applyNumberFormat="1" applyFont="1" applyBorder="1"/>
    <xf numFmtId="167" fontId="13" fillId="0" borderId="7" xfId="0" applyNumberFormat="1" applyFont="1" applyBorder="1"/>
    <xf numFmtId="167" fontId="13" fillId="0" borderId="1" xfId="0" applyNumberFormat="1" applyFont="1" applyBorder="1"/>
    <xf numFmtId="167" fontId="12" fillId="0" borderId="2" xfId="0" applyNumberFormat="1" applyFont="1" applyBorder="1"/>
    <xf numFmtId="167" fontId="12" fillId="0" borderId="1" xfId="0" applyNumberFormat="1" applyFont="1" applyBorder="1"/>
    <xf numFmtId="167" fontId="13" fillId="2" borderId="3" xfId="0" applyNumberFormat="1" applyFont="1" applyFill="1" applyBorder="1"/>
    <xf numFmtId="0" fontId="13" fillId="0" borderId="5" xfId="0" applyFont="1" applyBorder="1" applyAlignment="1">
      <alignment wrapText="1"/>
    </xf>
    <xf numFmtId="167" fontId="13" fillId="0" borderId="8" xfId="0" applyNumberFormat="1" applyFont="1" applyBorder="1"/>
    <xf numFmtId="167" fontId="13" fillId="0" borderId="9" xfId="0" applyNumberFormat="1" applyFont="1" applyBorder="1"/>
    <xf numFmtId="167" fontId="12" fillId="0" borderId="10" xfId="0" applyNumberFormat="1" applyFont="1" applyBorder="1"/>
    <xf numFmtId="167" fontId="13" fillId="3" borderId="7" xfId="0" applyNumberFormat="1" applyFont="1" applyFill="1" applyBorder="1"/>
    <xf numFmtId="0" fontId="16" fillId="2" borderId="5" xfId="0" applyFont="1" applyFill="1" applyBorder="1"/>
    <xf numFmtId="0" fontId="16" fillId="0" borderId="5" xfId="0" applyFont="1" applyBorder="1"/>
    <xf numFmtId="167" fontId="13" fillId="0" borderId="7" xfId="0" applyNumberFormat="1" applyFont="1" applyBorder="1" applyAlignment="1">
      <alignment vertical="top" wrapText="1"/>
    </xf>
    <xf numFmtId="0" fontId="13" fillId="0" borderId="11" xfId="0" applyFont="1" applyBorder="1"/>
    <xf numFmtId="167" fontId="13" fillId="0" borderId="12" xfId="0" applyNumberFormat="1" applyFont="1" applyBorder="1"/>
    <xf numFmtId="167" fontId="13" fillId="0" borderId="13" xfId="0" applyNumberFormat="1" applyFont="1" applyBorder="1"/>
    <xf numFmtId="167" fontId="13" fillId="0" borderId="14" xfId="0" applyNumberFormat="1" applyFont="1" applyBorder="1"/>
    <xf numFmtId="167" fontId="13" fillId="0" borderId="15" xfId="0" applyNumberFormat="1" applyFont="1" applyBorder="1"/>
    <xf numFmtId="167" fontId="13" fillId="0" borderId="16" xfId="0" applyNumberFormat="1" applyFont="1" applyBorder="1"/>
    <xf numFmtId="167" fontId="12" fillId="0" borderId="14" xfId="0" applyNumberFormat="1" applyFont="1" applyBorder="1"/>
    <xf numFmtId="167" fontId="12" fillId="0" borderId="15" xfId="0" applyNumberFormat="1" applyFont="1" applyBorder="1"/>
    <xf numFmtId="167" fontId="12" fillId="0" borderId="13" xfId="0" applyNumberFormat="1" applyFont="1" applyBorder="1"/>
    <xf numFmtId="167" fontId="12" fillId="0" borderId="16" xfId="0" applyNumberFormat="1" applyFont="1" applyBorder="1"/>
    <xf numFmtId="167" fontId="13" fillId="0" borderId="17" xfId="0" applyNumberFormat="1" applyFont="1" applyBorder="1"/>
    <xf numFmtId="0" fontId="13" fillId="0" borderId="5" xfId="0" applyFont="1" applyBorder="1" applyAlignment="1">
      <alignment horizontal="left"/>
    </xf>
    <xf numFmtId="0" fontId="13" fillId="2" borderId="5" xfId="0" applyFont="1" applyFill="1" applyBorder="1"/>
    <xf numFmtId="0" fontId="13" fillId="0" borderId="18" xfId="0" applyFont="1" applyBorder="1"/>
    <xf numFmtId="167" fontId="13" fillId="0" borderId="19" xfId="0" applyNumberFormat="1" applyFont="1" applyBorder="1"/>
    <xf numFmtId="167" fontId="13" fillId="0" borderId="20" xfId="0" applyNumberFormat="1" applyFont="1" applyBorder="1"/>
    <xf numFmtId="167" fontId="12" fillId="0" borderId="21" xfId="0" applyNumberFormat="1" applyFont="1" applyBorder="1"/>
    <xf numFmtId="167" fontId="13" fillId="0" borderId="21" xfId="0" applyNumberFormat="1" applyFont="1" applyBorder="1"/>
    <xf numFmtId="167" fontId="13" fillId="0" borderId="25" xfId="0" applyNumberFormat="1" applyFont="1" applyBorder="1"/>
    <xf numFmtId="167" fontId="13" fillId="3" borderId="26" xfId="0" applyNumberFormat="1" applyFont="1" applyFill="1" applyBorder="1"/>
    <xf numFmtId="167" fontId="13" fillId="0" borderId="27" xfId="0" applyNumberFormat="1" applyFont="1" applyBorder="1"/>
    <xf numFmtId="167" fontId="13" fillId="0" borderId="28" xfId="0" applyNumberFormat="1" applyFont="1" applyBorder="1"/>
    <xf numFmtId="167" fontId="13" fillId="0" borderId="29" xfId="0" applyNumberFormat="1" applyFont="1" applyBorder="1"/>
    <xf numFmtId="167" fontId="13" fillId="0" borderId="26" xfId="0" applyNumberFormat="1" applyFont="1" applyBorder="1"/>
    <xf numFmtId="167" fontId="13" fillId="3" borderId="29" xfId="0" applyNumberFormat="1" applyFont="1" applyFill="1" applyBorder="1"/>
    <xf numFmtId="0" fontId="19" fillId="0" borderId="0" xfId="0" applyFont="1"/>
    <xf numFmtId="0" fontId="12" fillId="0" borderId="30" xfId="9" applyBorder="1" applyAlignment="1">
      <alignment horizontal="center" vertical="center" wrapText="1"/>
    </xf>
    <xf numFmtId="0" fontId="15" fillId="0" borderId="30" xfId="9" applyFont="1" applyBorder="1" applyAlignment="1">
      <alignment horizontal="center" vertical="center" wrapText="1"/>
    </xf>
    <xf numFmtId="0" fontId="0" fillId="0" borderId="23" xfId="0" applyBorder="1" applyAlignment="1">
      <alignment vertical="top"/>
    </xf>
    <xf numFmtId="0" fontId="20" fillId="0" borderId="23" xfId="0" applyFont="1" applyBorder="1" applyAlignment="1">
      <alignment wrapText="1"/>
    </xf>
    <xf numFmtId="167" fontId="13" fillId="0" borderId="31" xfId="0" applyNumberFormat="1" applyFont="1" applyBorder="1"/>
    <xf numFmtId="167" fontId="13" fillId="0" borderId="32" xfId="0" applyNumberFormat="1" applyFont="1" applyBorder="1"/>
    <xf numFmtId="167" fontId="13" fillId="0" borderId="24" xfId="0" applyNumberFormat="1" applyFont="1" applyBorder="1"/>
    <xf numFmtId="0" fontId="0" fillId="0" borderId="33" xfId="0" applyBorder="1" applyAlignment="1">
      <alignment vertical="top"/>
    </xf>
    <xf numFmtId="0" fontId="13" fillId="0" borderId="33" xfId="9" applyFont="1" applyBorder="1" applyAlignment="1">
      <alignment horizontal="left" vertical="center" wrapText="1"/>
    </xf>
    <xf numFmtId="167" fontId="13" fillId="0" borderId="34" xfId="0" applyNumberFormat="1" applyFont="1" applyBorder="1"/>
    <xf numFmtId="0" fontId="12" fillId="0" borderId="35" xfId="9" applyBorder="1" applyAlignment="1">
      <alignment horizontal="center" vertical="center" wrapText="1"/>
    </xf>
    <xf numFmtId="167" fontId="13" fillId="0" borderId="36" xfId="9" applyNumberFormat="1" applyFont="1" applyBorder="1" applyAlignment="1">
      <alignment horizontal="right" vertical="center" wrapText="1"/>
    </xf>
    <xf numFmtId="167" fontId="13" fillId="0" borderId="37" xfId="9" applyNumberFormat="1" applyFont="1" applyBorder="1" applyAlignment="1">
      <alignment horizontal="right" vertical="center" wrapText="1"/>
    </xf>
    <xf numFmtId="167" fontId="13" fillId="0" borderId="38" xfId="9" applyNumberFormat="1" applyFont="1" applyBorder="1" applyAlignment="1">
      <alignment horizontal="right" vertical="center" wrapText="1"/>
    </xf>
    <xf numFmtId="167" fontId="13" fillId="0" borderId="37" xfId="0" applyNumberFormat="1" applyFont="1" applyBorder="1"/>
    <xf numFmtId="167" fontId="13" fillId="0" borderId="35" xfId="0" applyNumberFormat="1" applyFont="1" applyBorder="1"/>
    <xf numFmtId="167" fontId="13" fillId="0" borderId="36" xfId="0" applyNumberFormat="1" applyFont="1" applyBorder="1"/>
    <xf numFmtId="167" fontId="13" fillId="0" borderId="38" xfId="0" applyNumberFormat="1" applyFont="1" applyBorder="1"/>
    <xf numFmtId="167" fontId="13" fillId="0" borderId="39" xfId="0" applyNumberFormat="1" applyFont="1" applyBorder="1"/>
    <xf numFmtId="167" fontId="13" fillId="0" borderId="40" xfId="0" applyNumberFormat="1" applyFont="1" applyBorder="1"/>
    <xf numFmtId="167" fontId="13" fillId="0" borderId="41" xfId="0" applyNumberFormat="1" applyFont="1" applyBorder="1"/>
    <xf numFmtId="0" fontId="13" fillId="0" borderId="33" xfId="0" applyFont="1" applyBorder="1"/>
    <xf numFmtId="0" fontId="0" fillId="0" borderId="5" xfId="0" applyBorder="1" applyAlignment="1">
      <alignment vertical="top"/>
    </xf>
    <xf numFmtId="167" fontId="0" fillId="2" borderId="3" xfId="0" applyNumberFormat="1" applyFill="1" applyBorder="1"/>
    <xf numFmtId="167" fontId="0" fillId="0" borderId="1" xfId="0" applyNumberFormat="1" applyBorder="1"/>
    <xf numFmtId="167" fontId="0" fillId="0" borderId="3" xfId="0" applyNumberFormat="1" applyBorder="1"/>
    <xf numFmtId="167" fontId="0" fillId="0" borderId="2" xfId="0" applyNumberFormat="1" applyBorder="1"/>
    <xf numFmtId="167" fontId="0" fillId="0" borderId="7" xfId="0" applyNumberFormat="1" applyBorder="1"/>
    <xf numFmtId="167" fontId="13" fillId="0" borderId="10" xfId="0" applyNumberFormat="1" applyFont="1" applyBorder="1"/>
    <xf numFmtId="167" fontId="0" fillId="0" borderId="9" xfId="0" applyNumberFormat="1" applyBorder="1"/>
    <xf numFmtId="167" fontId="18" fillId="0" borderId="7" xfId="0" applyNumberFormat="1" applyFont="1" applyBorder="1"/>
    <xf numFmtId="167" fontId="0" fillId="0" borderId="6" xfId="0" applyNumberFormat="1" applyBorder="1"/>
    <xf numFmtId="167" fontId="0" fillId="0" borderId="10" xfId="0" applyNumberFormat="1" applyBorder="1"/>
    <xf numFmtId="0" fontId="21" fillId="0" borderId="5" xfId="0" applyFont="1" applyBorder="1" applyAlignment="1">
      <alignment wrapText="1"/>
    </xf>
    <xf numFmtId="167" fontId="0" fillId="0" borderId="8" xfId="0" applyNumberFormat="1" applyBorder="1"/>
    <xf numFmtId="0" fontId="16" fillId="0" borderId="5" xfId="0" applyFont="1" applyBorder="1" applyAlignment="1">
      <alignment wrapText="1"/>
    </xf>
    <xf numFmtId="0" fontId="0" fillId="0" borderId="5" xfId="0" applyBorder="1"/>
    <xf numFmtId="0" fontId="0" fillId="0" borderId="18" xfId="0" applyBorder="1" applyAlignment="1">
      <alignment vertical="top"/>
    </xf>
    <xf numFmtId="167" fontId="0" fillId="0" borderId="24" xfId="0" applyNumberFormat="1" applyBorder="1"/>
    <xf numFmtId="167" fontId="13" fillId="0" borderId="42" xfId="0" applyNumberFormat="1" applyFont="1" applyBorder="1"/>
    <xf numFmtId="167" fontId="0" fillId="0" borderId="35" xfId="0" applyNumberFormat="1" applyBorder="1"/>
    <xf numFmtId="167" fontId="13" fillId="0" borderId="4" xfId="0" applyNumberFormat="1" applyFont="1" applyBorder="1"/>
    <xf numFmtId="167" fontId="13" fillId="0" borderId="43" xfId="0" applyNumberFormat="1" applyFont="1" applyBorder="1"/>
    <xf numFmtId="167" fontId="0" fillId="0" borderId="44" xfId="0" applyNumberFormat="1" applyBorder="1"/>
    <xf numFmtId="167" fontId="0" fillId="0" borderId="41" xfId="0" applyNumberFormat="1" applyBorder="1"/>
    <xf numFmtId="167" fontId="13" fillId="0" borderId="45" xfId="0" applyNumberFormat="1" applyFont="1" applyBorder="1"/>
    <xf numFmtId="167" fontId="0" fillId="0" borderId="46" xfId="0" applyNumberFormat="1" applyBorder="1"/>
    <xf numFmtId="167" fontId="0" fillId="0" borderId="39" xfId="0" applyNumberFormat="1" applyBorder="1"/>
    <xf numFmtId="167" fontId="0" fillId="0" borderId="37" xfId="0" applyNumberFormat="1" applyBorder="1"/>
    <xf numFmtId="167" fontId="0" fillId="0" borderId="47" xfId="0" applyNumberFormat="1" applyBorder="1"/>
    <xf numFmtId="0" fontId="21" fillId="0" borderId="5" xfId="0" applyFont="1" applyBorder="1"/>
    <xf numFmtId="0" fontId="0" fillId="0" borderId="11" xfId="0" applyBorder="1" applyAlignment="1">
      <alignment vertical="top"/>
    </xf>
    <xf numFmtId="167" fontId="0" fillId="0" borderId="20" xfId="0" applyNumberFormat="1" applyBorder="1"/>
    <xf numFmtId="167" fontId="0" fillId="0" borderId="19" xfId="0" applyNumberFormat="1" applyBorder="1"/>
    <xf numFmtId="167" fontId="0" fillId="0" borderId="21" xfId="0" applyNumberFormat="1" applyBorder="1"/>
    <xf numFmtId="167" fontId="0" fillId="0" borderId="48" xfId="0" applyNumberFormat="1" applyBorder="1"/>
    <xf numFmtId="167" fontId="12" fillId="0" borderId="19" xfId="0" applyNumberFormat="1" applyFont="1" applyBorder="1"/>
    <xf numFmtId="167" fontId="13" fillId="3" borderId="31" xfId="0" applyNumberFormat="1" applyFont="1" applyFill="1" applyBorder="1"/>
    <xf numFmtId="167" fontId="13" fillId="3" borderId="25" xfId="0" applyNumberFormat="1" applyFont="1" applyFill="1" applyBorder="1"/>
    <xf numFmtId="167" fontId="0" fillId="0" borderId="29" xfId="0" applyNumberFormat="1" applyBorder="1"/>
    <xf numFmtId="167" fontId="0" fillId="0" borderId="25" xfId="0" applyNumberFormat="1" applyBorder="1"/>
    <xf numFmtId="0" fontId="13" fillId="0" borderId="49" xfId="0" applyFont="1" applyBorder="1" applyAlignment="1">
      <alignment wrapText="1"/>
    </xf>
    <xf numFmtId="167" fontId="13" fillId="0" borderId="50" xfId="0" applyNumberFormat="1" applyFont="1" applyBorder="1"/>
    <xf numFmtId="167" fontId="0" fillId="0" borderId="40" xfId="0" applyNumberFormat="1" applyBorder="1"/>
    <xf numFmtId="167" fontId="13" fillId="3" borderId="3" xfId="0" applyNumberFormat="1" applyFont="1" applyFill="1" applyBorder="1"/>
    <xf numFmtId="167" fontId="12" fillId="3" borderId="7" xfId="0" applyNumberFormat="1" applyFont="1" applyFill="1" applyBorder="1"/>
    <xf numFmtId="167" fontId="12" fillId="3" borderId="3" xfId="0" applyNumberFormat="1" applyFont="1" applyFill="1" applyBorder="1"/>
    <xf numFmtId="0" fontId="16" fillId="0" borderId="11" xfId="0" applyFont="1" applyBorder="1"/>
    <xf numFmtId="0" fontId="16" fillId="2" borderId="40" xfId="0" applyFont="1" applyFill="1" applyBorder="1"/>
    <xf numFmtId="0" fontId="16" fillId="2" borderId="40" xfId="0" applyFont="1" applyFill="1" applyBorder="1" applyAlignment="1">
      <alignment vertical="top" wrapText="1"/>
    </xf>
    <xf numFmtId="0" fontId="17" fillId="0" borderId="5" xfId="0" applyFont="1" applyBorder="1"/>
    <xf numFmtId="167" fontId="0" fillId="0" borderId="15" xfId="0" applyNumberFormat="1" applyBorder="1"/>
    <xf numFmtId="167" fontId="0" fillId="0" borderId="13" xfId="0" applyNumberFormat="1" applyBorder="1"/>
    <xf numFmtId="167" fontId="0" fillId="0" borderId="16" xfId="0" applyNumberFormat="1" applyBorder="1"/>
    <xf numFmtId="0" fontId="20" fillId="0" borderId="23" xfId="0" applyFont="1" applyBorder="1" applyAlignment="1">
      <alignment horizontal="left" vertical="center" wrapText="1"/>
    </xf>
    <xf numFmtId="0" fontId="0" fillId="0" borderId="5" xfId="0" applyBorder="1" applyAlignment="1">
      <alignment vertical="top" wrapText="1"/>
    </xf>
    <xf numFmtId="0" fontId="16" fillId="2" borderId="5" xfId="0" applyFont="1" applyFill="1" applyBorder="1" applyAlignment="1">
      <alignment vertical="top" wrapText="1"/>
    </xf>
    <xf numFmtId="167" fontId="12" fillId="0" borderId="7" xfId="0" applyNumberFormat="1" applyFont="1" applyBorder="1" applyAlignment="1">
      <alignment wrapText="1"/>
    </xf>
    <xf numFmtId="167" fontId="0" fillId="0" borderId="3" xfId="0" applyNumberFormat="1" applyBorder="1" applyAlignment="1">
      <alignment wrapText="1"/>
    </xf>
    <xf numFmtId="167" fontId="13" fillId="0" borderId="3" xfId="0" applyNumberFormat="1" applyFont="1" applyBorder="1" applyAlignment="1">
      <alignment wrapText="1"/>
    </xf>
    <xf numFmtId="167" fontId="13" fillId="0" borderId="1" xfId="0" applyNumberFormat="1" applyFont="1" applyBorder="1" applyAlignment="1">
      <alignment wrapText="1"/>
    </xf>
    <xf numFmtId="167" fontId="0" fillId="0" borderId="6" xfId="0" applyNumberFormat="1" applyBorder="1" applyAlignment="1">
      <alignment wrapText="1"/>
    </xf>
    <xf numFmtId="167" fontId="0" fillId="2" borderId="3" xfId="0" applyNumberFormat="1" applyFill="1" applyBorder="1" applyAlignment="1">
      <alignment wrapText="1"/>
    </xf>
    <xf numFmtId="167" fontId="0" fillId="0" borderId="3" xfId="0" applyNumberFormat="1" applyBorder="1" applyAlignment="1">
      <alignment vertical="top" wrapText="1"/>
    </xf>
    <xf numFmtId="167" fontId="0" fillId="0" borderId="2" xfId="0" applyNumberFormat="1" applyBorder="1" applyAlignment="1">
      <alignment vertical="top" wrapText="1"/>
    </xf>
    <xf numFmtId="167" fontId="0" fillId="0" borderId="1" xfId="0" applyNumberFormat="1" applyBorder="1" applyAlignment="1">
      <alignment vertical="top" wrapText="1"/>
    </xf>
    <xf numFmtId="167" fontId="0" fillId="0" borderId="7" xfId="0" applyNumberFormat="1" applyBorder="1" applyAlignment="1">
      <alignment vertical="top" wrapText="1"/>
    </xf>
    <xf numFmtId="0" fontId="16" fillId="0" borderId="5" xfId="0" applyFont="1" applyBorder="1" applyAlignment="1">
      <alignment vertical="top" wrapText="1"/>
    </xf>
    <xf numFmtId="167" fontId="12" fillId="0" borderId="8" xfId="0" applyNumberFormat="1" applyFont="1" applyBorder="1"/>
    <xf numFmtId="0" fontId="12" fillId="2" borderId="11" xfId="0" applyFont="1" applyFill="1" applyBorder="1"/>
    <xf numFmtId="167" fontId="0" fillId="0" borderId="12" xfId="0" applyNumberFormat="1" applyBorder="1"/>
    <xf numFmtId="167" fontId="0" fillId="0" borderId="14" xfId="0" applyNumberFormat="1" applyBorder="1"/>
    <xf numFmtId="0" fontId="0" fillId="0" borderId="40" xfId="0" applyBorder="1" applyAlignment="1">
      <alignment vertical="top"/>
    </xf>
    <xf numFmtId="0" fontId="13" fillId="0" borderId="51" xfId="0" applyFont="1" applyBorder="1"/>
    <xf numFmtId="167" fontId="13" fillId="0" borderId="44" xfId="0" applyNumberFormat="1" applyFont="1" applyBorder="1"/>
    <xf numFmtId="167" fontId="13" fillId="0" borderId="51" xfId="0" applyNumberFormat="1" applyFont="1" applyBorder="1"/>
    <xf numFmtId="167" fontId="0" fillId="0" borderId="4" xfId="0" applyNumberFormat="1" applyBorder="1"/>
    <xf numFmtId="167" fontId="0" fillId="0" borderId="43" xfId="0" applyNumberFormat="1" applyBorder="1"/>
    <xf numFmtId="0" fontId="0" fillId="0" borderId="8" xfId="0" applyBorder="1" applyAlignment="1">
      <alignment vertical="top"/>
    </xf>
    <xf numFmtId="0" fontId="16" fillId="0" borderId="8" xfId="0" applyFont="1" applyBorder="1" applyAlignment="1">
      <alignment vertical="top" wrapText="1"/>
    </xf>
    <xf numFmtId="0" fontId="0" fillId="0" borderId="2" xfId="0" applyBorder="1" applyAlignment="1">
      <alignment vertical="top"/>
    </xf>
    <xf numFmtId="167" fontId="0" fillId="0" borderId="36" xfId="0" applyNumberFormat="1" applyBorder="1"/>
    <xf numFmtId="167" fontId="0" fillId="0" borderId="38" xfId="0" applyNumberFormat="1" applyBorder="1"/>
    <xf numFmtId="167" fontId="12" fillId="0" borderId="52" xfId="0" applyNumberFormat="1" applyFont="1" applyBorder="1"/>
    <xf numFmtId="167" fontId="0" fillId="0" borderId="52" xfId="0" applyNumberFormat="1" applyBorder="1"/>
    <xf numFmtId="167" fontId="0" fillId="0" borderId="53" xfId="0" applyNumberFormat="1" applyBorder="1"/>
    <xf numFmtId="167" fontId="0" fillId="0" borderId="54" xfId="0" applyNumberFormat="1" applyBorder="1"/>
    <xf numFmtId="0" fontId="13" fillId="0" borderId="23" xfId="0" applyFont="1" applyBorder="1"/>
    <xf numFmtId="0" fontId="0" fillId="0" borderId="0" xfId="0" applyAlignment="1">
      <alignment vertical="top"/>
    </xf>
    <xf numFmtId="0" fontId="10" fillId="0" borderId="0" xfId="0" applyFont="1"/>
    <xf numFmtId="0" fontId="0" fillId="3" borderId="0" xfId="0" applyFill="1"/>
    <xf numFmtId="0" fontId="9" fillId="0" borderId="0" xfId="0" applyFont="1" applyAlignment="1">
      <alignment wrapText="1"/>
    </xf>
    <xf numFmtId="169" fontId="0" fillId="0" borderId="0" xfId="0" applyNumberFormat="1"/>
    <xf numFmtId="0" fontId="12" fillId="0" borderId="0" xfId="0" applyFont="1" applyAlignment="1">
      <alignment vertical="top"/>
    </xf>
    <xf numFmtId="0" fontId="30" fillId="0" borderId="0" xfId="0" applyFont="1"/>
    <xf numFmtId="0" fontId="30" fillId="0" borderId="0" xfId="0" applyFont="1" applyAlignment="1">
      <alignment horizontal="center"/>
    </xf>
    <xf numFmtId="167" fontId="10" fillId="0" borderId="0" xfId="0" applyNumberFormat="1" applyFont="1"/>
    <xf numFmtId="169" fontId="10" fillId="0" borderId="0" xfId="0" applyNumberFormat="1" applyFont="1"/>
    <xf numFmtId="0" fontId="30" fillId="0" borderId="0" xfId="0" applyFont="1" applyAlignment="1">
      <alignment wrapText="1"/>
    </xf>
    <xf numFmtId="0" fontId="30" fillId="3" borderId="0" xfId="0" applyFont="1" applyFill="1"/>
    <xf numFmtId="0" fontId="8" fillId="0" borderId="0" xfId="0" applyFont="1" applyAlignment="1">
      <alignment horizontal="left"/>
    </xf>
    <xf numFmtId="0" fontId="12" fillId="0" borderId="0" xfId="0" applyFont="1" applyAlignment="1">
      <alignment horizontal="left"/>
    </xf>
    <xf numFmtId="0" fontId="12" fillId="0" borderId="72" xfId="0" applyFont="1" applyBorder="1" applyAlignment="1">
      <alignment horizontal="right" vertical="center" wrapText="1"/>
    </xf>
    <xf numFmtId="0" fontId="12" fillId="0" borderId="0" xfId="0" applyFont="1" applyAlignment="1">
      <alignment horizontal="right" vertical="center" wrapText="1"/>
    </xf>
    <xf numFmtId="167" fontId="0" fillId="0" borderId="0" xfId="0" applyNumberFormat="1"/>
    <xf numFmtId="0" fontId="8" fillId="0" borderId="72" xfId="0" applyFont="1" applyBorder="1" applyAlignment="1">
      <alignment vertical="center"/>
    </xf>
    <xf numFmtId="0" fontId="10" fillId="0" borderId="0" xfId="0" applyFont="1" applyAlignment="1">
      <alignment vertical="top"/>
    </xf>
    <xf numFmtId="0" fontId="10" fillId="3" borderId="0" xfId="0" applyFont="1" applyFill="1"/>
    <xf numFmtId="0" fontId="10" fillId="0" borderId="0" xfId="0" applyFont="1" applyAlignment="1">
      <alignment horizontal="left"/>
    </xf>
    <xf numFmtId="0" fontId="30" fillId="0" borderId="0" xfId="0" applyFont="1" applyAlignment="1">
      <alignment horizontal="left"/>
    </xf>
    <xf numFmtId="0" fontId="32" fillId="3" borderId="0" xfId="0" applyFont="1" applyFill="1"/>
    <xf numFmtId="0" fontId="8" fillId="0" borderId="167" xfId="0" applyFont="1" applyBorder="1" applyAlignment="1">
      <alignment vertical="top" wrapText="1"/>
    </xf>
    <xf numFmtId="0" fontId="8" fillId="0" borderId="167" xfId="0" applyFont="1" applyBorder="1" applyAlignment="1">
      <alignment horizontal="center" vertical="top" wrapText="1"/>
    </xf>
    <xf numFmtId="0" fontId="9" fillId="0" borderId="167" xfId="0" applyFont="1" applyBorder="1" applyAlignment="1">
      <alignment vertical="top" wrapText="1"/>
    </xf>
    <xf numFmtId="166" fontId="9" fillId="0" borderId="167" xfId="0" applyNumberFormat="1" applyFont="1" applyBorder="1" applyAlignment="1">
      <alignment horizontal="right" vertical="top" wrapText="1"/>
    </xf>
    <xf numFmtId="14" fontId="8" fillId="0" borderId="167" xfId="0" applyNumberFormat="1" applyFont="1" applyBorder="1" applyAlignment="1">
      <alignment vertical="top" wrapText="1"/>
    </xf>
    <xf numFmtId="166" fontId="8" fillId="0" borderId="167" xfId="0" applyNumberFormat="1" applyFont="1" applyBorder="1" applyAlignment="1">
      <alignment horizontal="right" vertical="top" wrapText="1"/>
    </xf>
    <xf numFmtId="0" fontId="9" fillId="0" borderId="167" xfId="0" applyFont="1" applyBorder="1"/>
    <xf numFmtId="169" fontId="9" fillId="0" borderId="167" xfId="0" applyNumberFormat="1" applyFont="1" applyBorder="1" applyAlignment="1">
      <alignment horizontal="right"/>
    </xf>
    <xf numFmtId="0" fontId="28" fillId="0" borderId="167" xfId="0" applyFont="1" applyBorder="1" applyAlignment="1">
      <alignment horizontal="center" vertical="center" wrapText="1"/>
    </xf>
    <xf numFmtId="0" fontId="28" fillId="0" borderId="167" xfId="0" applyFont="1" applyBorder="1" applyAlignment="1">
      <alignment horizontal="center" vertical="center"/>
    </xf>
    <xf numFmtId="0" fontId="9" fillId="0" borderId="167" xfId="0" applyFont="1" applyBorder="1" applyAlignment="1">
      <alignment vertical="center" wrapText="1"/>
    </xf>
    <xf numFmtId="0" fontId="9" fillId="0" borderId="167" xfId="0" applyFont="1" applyBorder="1" applyAlignment="1">
      <alignment horizontal="right" vertical="center" wrapText="1"/>
    </xf>
    <xf numFmtId="0" fontId="8" fillId="0" borderId="167" xfId="0" applyFont="1" applyBorder="1" applyAlignment="1">
      <alignment vertical="center" wrapText="1"/>
    </xf>
    <xf numFmtId="0" fontId="8" fillId="0" borderId="167" xfId="0" applyFont="1" applyBorder="1" applyAlignment="1">
      <alignment horizontal="right" vertical="center"/>
    </xf>
    <xf numFmtId="0" fontId="9" fillId="0" borderId="167" xfId="0" applyFont="1" applyBorder="1" applyAlignment="1">
      <alignment horizontal="right" vertical="center"/>
    </xf>
    <xf numFmtId="168" fontId="10" fillId="0" borderId="0" xfId="0" applyNumberFormat="1" applyFont="1"/>
    <xf numFmtId="0" fontId="10" fillId="0" borderId="0" xfId="0" applyFont="1" applyAlignment="1">
      <alignment wrapText="1"/>
    </xf>
    <xf numFmtId="0" fontId="12" fillId="0" borderId="0" xfId="0" applyFont="1" applyAlignment="1">
      <alignment wrapText="1"/>
    </xf>
    <xf numFmtId="0" fontId="13" fillId="0" borderId="110" xfId="0" applyFont="1" applyBorder="1" applyAlignment="1">
      <alignment horizontal="center" vertical="center" wrapText="1"/>
    </xf>
    <xf numFmtId="0" fontId="13" fillId="0" borderId="111" xfId="0" applyFont="1" applyBorder="1" applyAlignment="1">
      <alignment horizontal="center" vertical="center" wrapText="1"/>
    </xf>
    <xf numFmtId="0" fontId="12" fillId="0" borderId="110"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112" xfId="0" applyFont="1" applyBorder="1" applyAlignment="1">
      <alignment horizontal="center" vertical="center" wrapText="1"/>
    </xf>
    <xf numFmtId="0" fontId="12" fillId="0" borderId="133" xfId="0" applyFont="1" applyBorder="1" applyAlignment="1">
      <alignment horizontal="center" vertical="center" wrapText="1"/>
    </xf>
    <xf numFmtId="0" fontId="12" fillId="0" borderId="131" xfId="9" applyBorder="1" applyAlignment="1">
      <alignment horizontal="center" vertical="center" wrapText="1"/>
    </xf>
    <xf numFmtId="0" fontId="12" fillId="0" borderId="124" xfId="9" applyBorder="1" applyAlignment="1">
      <alignment horizontal="center" vertical="center" wrapText="1"/>
    </xf>
    <xf numFmtId="0" fontId="13" fillId="0" borderId="0" xfId="0" applyFont="1" applyAlignment="1">
      <alignment wrapText="1"/>
    </xf>
    <xf numFmtId="169" fontId="13" fillId="0" borderId="108" xfId="0" applyNumberFormat="1" applyFont="1" applyBorder="1"/>
    <xf numFmtId="167" fontId="13" fillId="0" borderId="109" xfId="0" applyNumberFormat="1" applyFont="1" applyBorder="1"/>
    <xf numFmtId="169" fontId="13" fillId="0" borderId="73" xfId="0" applyNumberFormat="1" applyFont="1" applyBorder="1"/>
    <xf numFmtId="167" fontId="13" fillId="0" borderId="75" xfId="0" applyNumberFormat="1" applyFont="1" applyBorder="1"/>
    <xf numFmtId="167" fontId="13" fillId="0" borderId="108" xfId="0" applyNumberFormat="1" applyFont="1" applyBorder="1"/>
    <xf numFmtId="167" fontId="13" fillId="0" borderId="74" xfId="0" applyNumberFormat="1" applyFont="1" applyBorder="1"/>
    <xf numFmtId="167" fontId="13" fillId="0" borderId="107" xfId="0" applyNumberFormat="1" applyFont="1" applyBorder="1"/>
    <xf numFmtId="0" fontId="13" fillId="0" borderId="31" xfId="0" applyFont="1" applyBorder="1"/>
    <xf numFmtId="0" fontId="12" fillId="0" borderId="67" xfId="0" applyFont="1" applyBorder="1" applyAlignment="1">
      <alignment vertical="top"/>
    </xf>
    <xf numFmtId="0" fontId="13" fillId="0" borderId="113" xfId="0" applyFont="1" applyBorder="1" applyAlignment="1">
      <alignment horizontal="left" vertical="center" wrapText="1"/>
    </xf>
    <xf numFmtId="167" fontId="13" fillId="0" borderId="62" xfId="0" applyNumberFormat="1" applyFont="1" applyBorder="1"/>
    <xf numFmtId="167" fontId="13" fillId="0" borderId="171" xfId="0" applyNumberFormat="1" applyFont="1" applyBorder="1"/>
    <xf numFmtId="167" fontId="13" fillId="0" borderId="142" xfId="0" applyNumberFormat="1" applyFont="1" applyBorder="1" applyAlignment="1">
      <alignment horizontal="right" vertical="center" wrapText="1"/>
    </xf>
    <xf numFmtId="167" fontId="13" fillId="0" borderId="170" xfId="0" applyNumberFormat="1" applyFont="1" applyBorder="1" applyAlignment="1">
      <alignment horizontal="right" vertical="center" wrapText="1"/>
    </xf>
    <xf numFmtId="168" fontId="13" fillId="0" borderId="62" xfId="0" applyNumberFormat="1" applyFont="1" applyBorder="1"/>
    <xf numFmtId="168" fontId="13" fillId="0" borderId="63" xfId="0" applyNumberFormat="1" applyFont="1" applyBorder="1"/>
    <xf numFmtId="168" fontId="13" fillId="0" borderId="58" xfId="0" applyNumberFormat="1" applyFont="1" applyBorder="1"/>
    <xf numFmtId="168" fontId="13" fillId="0" borderId="115" xfId="0" applyNumberFormat="1" applyFont="1" applyBorder="1"/>
    <xf numFmtId="0" fontId="12" fillId="0" borderId="36" xfId="0" applyFont="1" applyBorder="1"/>
    <xf numFmtId="0" fontId="12" fillId="0" borderId="38" xfId="0" applyFont="1" applyBorder="1"/>
    <xf numFmtId="0" fontId="13" fillId="0" borderId="114" xfId="0" applyFont="1" applyBorder="1"/>
    <xf numFmtId="0" fontId="12" fillId="0" borderId="118" xfId="0" applyFont="1" applyBorder="1" applyAlignment="1">
      <alignment vertical="top" wrapText="1"/>
    </xf>
    <xf numFmtId="0" fontId="13" fillId="0" borderId="174" xfId="0" applyFont="1" applyBorder="1"/>
    <xf numFmtId="0" fontId="13" fillId="0" borderId="174" xfId="0" applyFont="1" applyBorder="1" applyAlignment="1">
      <alignment vertical="top" wrapText="1"/>
    </xf>
    <xf numFmtId="0" fontId="13" fillId="0" borderId="120" xfId="0" applyFont="1" applyBorder="1" applyAlignment="1">
      <alignment vertical="top" wrapText="1"/>
    </xf>
    <xf numFmtId="0" fontId="13" fillId="0" borderId="118" xfId="0" applyFont="1" applyBorder="1" applyAlignment="1">
      <alignment wrapText="1"/>
    </xf>
    <xf numFmtId="0" fontId="12" fillId="0" borderId="72" xfId="0" applyFont="1" applyBorder="1" applyAlignment="1">
      <alignment vertical="top"/>
    </xf>
    <xf numFmtId="0" fontId="13" fillId="0" borderId="177" xfId="0" applyFont="1" applyBorder="1"/>
    <xf numFmtId="0" fontId="13" fillId="0" borderId="116" xfId="0" applyFont="1" applyBorder="1" applyAlignment="1">
      <alignment wrapText="1"/>
    </xf>
    <xf numFmtId="0" fontId="13" fillId="0" borderId="67" xfId="0" applyFont="1" applyBorder="1"/>
    <xf numFmtId="0" fontId="12" fillId="0" borderId="118" xfId="9" applyBorder="1" applyAlignment="1">
      <alignment vertical="top" wrapText="1"/>
    </xf>
    <xf numFmtId="0" fontId="13" fillId="0" borderId="140" xfId="0" applyFont="1" applyBorder="1"/>
    <xf numFmtId="0" fontId="13" fillId="0" borderId="120" xfId="0" applyFont="1" applyBorder="1" applyAlignment="1">
      <alignment wrapText="1"/>
    </xf>
    <xf numFmtId="0" fontId="13" fillId="0" borderId="140" xfId="0" applyFont="1" applyBorder="1" applyAlignment="1">
      <alignment vertical="center"/>
    </xf>
    <xf numFmtId="169" fontId="13" fillId="0" borderId="140" xfId="0" applyNumberFormat="1" applyFont="1" applyBorder="1"/>
    <xf numFmtId="0" fontId="13" fillId="0" borderId="69" xfId="0" applyFont="1" applyBorder="1" applyAlignment="1">
      <alignment wrapText="1"/>
    </xf>
    <xf numFmtId="0" fontId="13" fillId="0" borderId="72" xfId="0" applyFont="1" applyBorder="1" applyAlignment="1">
      <alignment wrapText="1"/>
    </xf>
    <xf numFmtId="0" fontId="16" fillId="0" borderId="120" xfId="0" applyFont="1" applyBorder="1" applyAlignment="1">
      <alignment wrapText="1"/>
    </xf>
    <xf numFmtId="0" fontId="13" fillId="0" borderId="140" xfId="0" applyFont="1" applyBorder="1" applyAlignment="1">
      <alignment wrapText="1"/>
    </xf>
    <xf numFmtId="0" fontId="13" fillId="0" borderId="141" xfId="0" applyFont="1" applyBorder="1"/>
    <xf numFmtId="0" fontId="13" fillId="0" borderId="29" xfId="0" applyFont="1" applyBorder="1" applyAlignment="1">
      <alignment horizontal="left" vertical="center" wrapText="1"/>
    </xf>
    <xf numFmtId="0" fontId="13" fillId="0" borderId="175" xfId="0" applyFont="1" applyBorder="1"/>
    <xf numFmtId="0" fontId="13" fillId="0" borderId="23" xfId="0" applyFont="1" applyBorder="1" applyAlignment="1">
      <alignment wrapText="1"/>
    </xf>
    <xf numFmtId="0" fontId="13" fillId="0" borderId="142" xfId="0" applyFont="1" applyBorder="1"/>
    <xf numFmtId="0" fontId="13" fillId="0" borderId="143" xfId="0" applyFont="1" applyBorder="1"/>
    <xf numFmtId="0" fontId="13" fillId="0" borderId="117" xfId="0" applyFont="1" applyBorder="1"/>
    <xf numFmtId="0" fontId="13" fillId="0" borderId="29" xfId="0" applyFont="1" applyBorder="1" applyAlignment="1">
      <alignment wrapText="1"/>
    </xf>
    <xf numFmtId="0" fontId="13" fillId="0" borderId="29" xfId="0" applyFont="1" applyBorder="1"/>
    <xf numFmtId="0" fontId="12" fillId="0" borderId="101" xfId="9" applyBorder="1" applyAlignment="1">
      <alignment horizontal="center" vertical="top" wrapText="1"/>
    </xf>
    <xf numFmtId="0" fontId="12" fillId="0" borderId="102" xfId="9" applyBorder="1" applyAlignment="1">
      <alignment horizontal="center" vertical="top" wrapText="1"/>
    </xf>
    <xf numFmtId="0" fontId="12" fillId="0" borderId="129" xfId="9" applyBorder="1" applyAlignment="1">
      <alignment horizontal="center" vertical="top" wrapText="1"/>
    </xf>
    <xf numFmtId="0" fontId="12" fillId="0" borderId="131" xfId="9" applyBorder="1" applyAlignment="1">
      <alignment horizontal="center" vertical="top" wrapText="1"/>
    </xf>
    <xf numFmtId="0" fontId="12" fillId="0" borderId="124" xfId="9" applyBorder="1" applyAlignment="1">
      <alignment horizontal="center" vertical="top" wrapText="1"/>
    </xf>
    <xf numFmtId="0" fontId="13" fillId="0" borderId="51" xfId="9" applyFont="1" applyBorder="1" applyAlignment="1">
      <alignment horizontal="left" vertical="top" wrapText="1"/>
    </xf>
    <xf numFmtId="167" fontId="13" fillId="0" borderId="50" xfId="0" applyNumberFormat="1" applyFont="1" applyBorder="1" applyAlignment="1">
      <alignment vertical="top"/>
    </xf>
    <xf numFmtId="167" fontId="13" fillId="0" borderId="44" xfId="0" applyNumberFormat="1" applyFont="1" applyBorder="1" applyAlignment="1">
      <alignment vertical="top"/>
    </xf>
    <xf numFmtId="167" fontId="13" fillId="0" borderId="4" xfId="9" applyNumberFormat="1" applyFont="1" applyBorder="1" applyAlignment="1">
      <alignment horizontal="right" vertical="top" wrapText="1"/>
    </xf>
    <xf numFmtId="167" fontId="13" fillId="0" borderId="46" xfId="9" applyNumberFormat="1" applyFont="1" applyBorder="1" applyAlignment="1">
      <alignment horizontal="right" vertical="top" wrapText="1"/>
    </xf>
    <xf numFmtId="0" fontId="13" fillId="0" borderId="50" xfId="9" applyFont="1" applyBorder="1" applyAlignment="1">
      <alignment horizontal="center" vertical="top" wrapText="1"/>
    </xf>
    <xf numFmtId="0" fontId="13" fillId="0" borderId="46" xfId="9" applyFont="1" applyBorder="1" applyAlignment="1">
      <alignment horizontal="center" vertical="top" wrapText="1"/>
    </xf>
    <xf numFmtId="0" fontId="13" fillId="0" borderId="45" xfId="9" applyFont="1" applyBorder="1" applyAlignment="1">
      <alignment horizontal="center" vertical="top" wrapText="1"/>
    </xf>
    <xf numFmtId="0" fontId="13" fillId="0" borderId="50" xfId="0" applyFont="1" applyBorder="1" applyAlignment="1">
      <alignment vertical="top"/>
    </xf>
    <xf numFmtId="0" fontId="13" fillId="0" borderId="46" xfId="0" applyFont="1" applyBorder="1" applyAlignment="1">
      <alignment vertical="top"/>
    </xf>
    <xf numFmtId="0" fontId="12" fillId="0" borderId="8" xfId="0" applyFont="1" applyBorder="1" applyAlignment="1">
      <alignment horizontal="right" vertical="top" wrapText="1"/>
    </xf>
    <xf numFmtId="0" fontId="13" fillId="0" borderId="8" xfId="0" applyFont="1" applyBorder="1" applyAlignment="1">
      <alignment horizontal="right" vertical="top" wrapText="1"/>
    </xf>
    <xf numFmtId="0" fontId="12" fillId="0" borderId="169" xfId="0" applyFont="1" applyBorder="1" applyAlignment="1">
      <alignment vertical="top" wrapText="1"/>
    </xf>
    <xf numFmtId="0" fontId="13" fillId="0" borderId="33" xfId="0" applyFont="1" applyBorder="1" applyAlignment="1">
      <alignment vertical="top" wrapText="1"/>
    </xf>
    <xf numFmtId="0" fontId="16" fillId="0" borderId="118" xfId="0" applyFont="1" applyBorder="1" applyAlignment="1">
      <alignment vertical="top" wrapText="1"/>
    </xf>
    <xf numFmtId="0" fontId="13" fillId="0" borderId="33" xfId="0" applyFont="1" applyBorder="1" applyAlignment="1">
      <alignment vertical="top"/>
    </xf>
    <xf numFmtId="0" fontId="13" fillId="0" borderId="123" xfId="0" applyFont="1" applyBorder="1" applyAlignment="1">
      <alignment horizontal="right" vertical="top" wrapText="1"/>
    </xf>
    <xf numFmtId="0" fontId="13" fillId="0" borderId="169" xfId="0" applyFont="1" applyBorder="1" applyAlignment="1">
      <alignment vertical="top"/>
    </xf>
    <xf numFmtId="0" fontId="13" fillId="0" borderId="23" xfId="0" applyFont="1" applyBorder="1" applyAlignment="1">
      <alignment vertical="top"/>
    </xf>
    <xf numFmtId="0" fontId="13" fillId="0" borderId="49" xfId="0" applyFont="1" applyBorder="1" applyAlignment="1">
      <alignment vertical="top"/>
    </xf>
    <xf numFmtId="0" fontId="13" fillId="0" borderId="23" xfId="0" applyFont="1" applyBorder="1" applyAlignment="1">
      <alignment horizontal="right" vertical="top" wrapText="1"/>
    </xf>
    <xf numFmtId="0" fontId="13" fillId="0" borderId="23" xfId="0" applyFont="1" applyBorder="1" applyAlignment="1">
      <alignment horizontal="left" vertical="top"/>
    </xf>
    <xf numFmtId="0" fontId="13" fillId="0" borderId="0" xfId="0" applyFont="1" applyAlignment="1">
      <alignment horizontal="left"/>
    </xf>
    <xf numFmtId="0" fontId="13" fillId="0" borderId="67" xfId="0" applyFont="1" applyBorder="1" applyAlignment="1">
      <alignment vertical="top"/>
    </xf>
    <xf numFmtId="0" fontId="13" fillId="0" borderId="118" xfId="0" applyFont="1" applyBorder="1" applyAlignment="1">
      <alignment vertical="top" wrapText="1"/>
    </xf>
    <xf numFmtId="0" fontId="16" fillId="0" borderId="174" xfId="0" applyFont="1" applyBorder="1"/>
    <xf numFmtId="0" fontId="16" fillId="0" borderId="174" xfId="0" applyFont="1" applyBorder="1" applyAlignment="1">
      <alignment horizontal="left" vertical="center" wrapText="1"/>
    </xf>
    <xf numFmtId="0" fontId="16" fillId="0" borderId="118" xfId="0" applyFont="1" applyBorder="1" applyAlignment="1">
      <alignment wrapText="1"/>
    </xf>
    <xf numFmtId="0" fontId="16" fillId="0" borderId="174" xfId="0" applyFont="1" applyBorder="1" applyAlignment="1">
      <alignment vertical="top" wrapText="1"/>
    </xf>
    <xf numFmtId="0" fontId="16" fillId="0" borderId="174" xfId="0" applyFont="1" applyBorder="1" applyAlignment="1">
      <alignment wrapText="1"/>
    </xf>
    <xf numFmtId="0" fontId="16" fillId="0" borderId="175" xfId="0" applyFont="1" applyBorder="1"/>
    <xf numFmtId="0" fontId="16" fillId="0" borderId="140" xfId="0" applyFont="1" applyBorder="1" applyAlignment="1">
      <alignment wrapText="1"/>
    </xf>
    <xf numFmtId="0" fontId="16" fillId="0" borderId="140" xfId="0" applyFont="1" applyBorder="1"/>
    <xf numFmtId="0" fontId="16" fillId="0" borderId="123" xfId="0" applyFont="1" applyBorder="1" applyAlignment="1">
      <alignment wrapText="1"/>
    </xf>
    <xf numFmtId="0" fontId="16" fillId="0" borderId="120" xfId="0" applyFont="1" applyBorder="1" applyAlignment="1">
      <alignment vertical="top" wrapText="1"/>
    </xf>
    <xf numFmtId="0" fontId="16" fillId="0" borderId="118" xfId="9" applyFont="1" applyBorder="1" applyAlignment="1">
      <alignment vertical="top" wrapText="1"/>
    </xf>
    <xf numFmtId="0" fontId="16" fillId="0" borderId="120" xfId="0" applyFont="1" applyBorder="1"/>
    <xf numFmtId="0" fontId="16" fillId="0" borderId="114" xfId="0" applyFont="1" applyBorder="1"/>
    <xf numFmtId="0" fontId="16" fillId="0" borderId="33" xfId="0" applyFont="1" applyBorder="1" applyAlignment="1">
      <alignment wrapText="1"/>
    </xf>
    <xf numFmtId="0" fontId="16" fillId="0" borderId="164" xfId="0" applyFont="1" applyBorder="1" applyAlignment="1">
      <alignment wrapText="1"/>
    </xf>
    <xf numFmtId="0" fontId="16" fillId="0" borderId="169" xfId="0" applyFont="1" applyBorder="1" applyAlignment="1">
      <alignment wrapText="1"/>
    </xf>
    <xf numFmtId="0" fontId="16" fillId="0" borderId="143" xfId="0" applyFont="1" applyBorder="1"/>
    <xf numFmtId="0" fontId="16" fillId="0" borderId="72" xfId="9" applyFont="1" applyBorder="1" applyAlignment="1">
      <alignment vertical="top" wrapText="1"/>
    </xf>
    <xf numFmtId="0" fontId="16" fillId="0" borderId="67" xfId="0" applyFont="1" applyBorder="1"/>
    <xf numFmtId="0" fontId="12" fillId="0" borderId="72" xfId="0" applyFont="1" applyBorder="1" applyAlignment="1">
      <alignment vertical="top" wrapText="1"/>
    </xf>
    <xf numFmtId="0" fontId="13" fillId="0" borderId="4" xfId="0" applyFont="1" applyBorder="1" applyAlignment="1">
      <alignment horizontal="right" vertical="top" wrapText="1"/>
    </xf>
    <xf numFmtId="0" fontId="12" fillId="0" borderId="118" xfId="0" applyFont="1" applyBorder="1" applyAlignment="1">
      <alignment vertical="top"/>
    </xf>
    <xf numFmtId="0" fontId="13" fillId="0" borderId="118" xfId="0" applyFont="1" applyBorder="1" applyAlignment="1">
      <alignment vertical="top"/>
    </xf>
    <xf numFmtId="0" fontId="12" fillId="0" borderId="118" xfId="9" applyBorder="1" applyAlignment="1">
      <alignment horizontal="left" vertical="top" wrapText="1"/>
    </xf>
    <xf numFmtId="0" fontId="13" fillId="0" borderId="118" xfId="0" applyFont="1" applyBorder="1" applyAlignment="1">
      <alignment horizontal="left" vertical="top" wrapText="1"/>
    </xf>
    <xf numFmtId="0" fontId="12" fillId="0" borderId="49" xfId="9" applyBorder="1" applyAlignment="1">
      <alignment vertical="top" wrapText="1"/>
    </xf>
    <xf numFmtId="0" fontId="34" fillId="0" borderId="118" xfId="0" applyFont="1" applyBorder="1" applyAlignment="1">
      <alignment vertical="top" wrapText="1"/>
    </xf>
    <xf numFmtId="0" fontId="12" fillId="0" borderId="174" xfId="0" applyFont="1" applyBorder="1" applyAlignment="1">
      <alignment vertical="top" wrapText="1"/>
    </xf>
    <xf numFmtId="0" fontId="13" fillId="0" borderId="49" xfId="0" applyFont="1" applyBorder="1" applyAlignment="1">
      <alignment vertical="top" wrapText="1"/>
    </xf>
    <xf numFmtId="0" fontId="13" fillId="0" borderId="174" xfId="0" applyFont="1" applyBorder="1" applyAlignment="1">
      <alignment vertical="top"/>
    </xf>
    <xf numFmtId="169" fontId="13" fillId="0" borderId="174" xfId="0" applyNumberFormat="1" applyFont="1" applyBorder="1" applyAlignment="1">
      <alignment vertical="top"/>
    </xf>
    <xf numFmtId="0" fontId="13" fillId="0" borderId="113" xfId="0" applyFont="1" applyBorder="1" applyAlignment="1">
      <alignment vertical="top" wrapText="1"/>
    </xf>
    <xf numFmtId="0" fontId="37" fillId="0" borderId="118" xfId="0" applyFont="1" applyBorder="1" applyAlignment="1">
      <alignment wrapText="1"/>
    </xf>
    <xf numFmtId="0" fontId="16" fillId="0" borderId="18" xfId="0" applyFont="1" applyBorder="1" applyAlignment="1">
      <alignment wrapText="1"/>
    </xf>
    <xf numFmtId="0" fontId="13" fillId="0" borderId="72" xfId="0" applyFont="1" applyBorder="1" applyAlignment="1">
      <alignment vertical="top"/>
    </xf>
    <xf numFmtId="0" fontId="8" fillId="0" borderId="164" xfId="0" applyFont="1" applyBorder="1" applyAlignment="1">
      <alignment vertical="top" wrapText="1"/>
    </xf>
    <xf numFmtId="0" fontId="8" fillId="0" borderId="164" xfId="0" applyFont="1" applyBorder="1" applyAlignment="1">
      <alignment horizontal="center" vertical="top" wrapText="1"/>
    </xf>
    <xf numFmtId="0" fontId="9" fillId="0" borderId="164" xfId="0" applyFont="1" applyBorder="1" applyAlignment="1">
      <alignment vertical="top" wrapText="1"/>
    </xf>
    <xf numFmtId="0" fontId="27" fillId="0" borderId="164" xfId="0" applyFont="1" applyBorder="1" applyAlignment="1">
      <alignment vertical="top" wrapText="1"/>
    </xf>
    <xf numFmtId="0" fontId="10" fillId="0" borderId="0" xfId="0" applyFont="1" applyAlignment="1">
      <alignment horizontal="center"/>
    </xf>
    <xf numFmtId="0" fontId="8" fillId="0" borderId="0" xfId="0" applyFont="1" applyAlignment="1">
      <alignment horizontal="left" indent="15"/>
    </xf>
    <xf numFmtId="0" fontId="15" fillId="0" borderId="0" xfId="0" applyFont="1"/>
    <xf numFmtId="0" fontId="40" fillId="0" borderId="17" xfId="1327" applyFont="1" applyBorder="1" applyAlignment="1">
      <alignment horizontal="center" vertical="center" wrapText="1"/>
    </xf>
    <xf numFmtId="0" fontId="40" fillId="0" borderId="184" xfId="1327" applyFont="1" applyBorder="1" applyAlignment="1">
      <alignment horizontal="center" vertical="center" wrapText="1"/>
    </xf>
    <xf numFmtId="0" fontId="40" fillId="0" borderId="188" xfId="1327" applyFont="1" applyBorder="1" applyAlignment="1">
      <alignment horizontal="center" vertical="center" wrapText="1"/>
    </xf>
    <xf numFmtId="2" fontId="0" fillId="0" borderId="0" xfId="0" applyNumberFormat="1"/>
    <xf numFmtId="168" fontId="0" fillId="0" borderId="0" xfId="0" applyNumberFormat="1"/>
    <xf numFmtId="170" fontId="0" fillId="0" borderId="0" xfId="0" applyNumberFormat="1"/>
    <xf numFmtId="2" fontId="8" fillId="0" borderId="167" xfId="0" applyNumberFormat="1" applyFont="1" applyBorder="1" applyAlignment="1">
      <alignment horizontal="center"/>
    </xf>
    <xf numFmtId="2" fontId="8" fillId="0" borderId="158" xfId="0" applyNumberFormat="1" applyFont="1" applyBorder="1" applyAlignment="1">
      <alignment horizontal="center"/>
    </xf>
    <xf numFmtId="0" fontId="8" fillId="3" borderId="172" xfId="0" applyFont="1" applyFill="1" applyBorder="1" applyAlignment="1">
      <alignment horizontal="center" wrapText="1"/>
    </xf>
    <xf numFmtId="2" fontId="8" fillId="0" borderId="13" xfId="0" applyNumberFormat="1" applyFont="1" applyBorder="1" applyAlignment="1">
      <alignment horizontal="center"/>
    </xf>
    <xf numFmtId="2" fontId="8" fillId="0" borderId="124" xfId="0" applyNumberFormat="1" applyFont="1" applyBorder="1" applyAlignment="1">
      <alignment horizontal="center"/>
    </xf>
    <xf numFmtId="0" fontId="8" fillId="0" borderId="172" xfId="0" applyFont="1" applyBorder="1" applyAlignment="1">
      <alignment horizontal="center" wrapText="1"/>
    </xf>
    <xf numFmtId="0" fontId="41" fillId="0" borderId="167" xfId="0" applyFont="1" applyBorder="1" applyAlignment="1">
      <alignment horizontal="left" vertical="top"/>
    </xf>
    <xf numFmtId="166" fontId="0" fillId="0" borderId="0" xfId="0" applyNumberFormat="1"/>
    <xf numFmtId="0" fontId="42" fillId="0" borderId="0" xfId="0" applyFont="1"/>
    <xf numFmtId="0" fontId="12" fillId="0" borderId="43" xfId="1328" applyBorder="1"/>
    <xf numFmtId="0" fontId="12" fillId="0" borderId="46" xfId="1328" applyBorder="1"/>
    <xf numFmtId="0" fontId="12" fillId="0" borderId="0" xfId="1328"/>
    <xf numFmtId="0" fontId="12" fillId="0" borderId="168" xfId="1328" applyBorder="1" applyAlignment="1">
      <alignment horizontal="center" vertical="center"/>
    </xf>
    <xf numFmtId="0" fontId="12" fillId="0" borderId="168" xfId="1328" applyBorder="1" applyAlignment="1">
      <alignment vertical="center" wrapText="1"/>
    </xf>
    <xf numFmtId="0" fontId="12" fillId="0" borderId="21" xfId="1328" applyBorder="1" applyAlignment="1">
      <alignment vertical="center" wrapText="1"/>
    </xf>
    <xf numFmtId="0" fontId="13" fillId="0" borderId="36" xfId="1328" applyFont="1" applyBorder="1"/>
    <xf numFmtId="0" fontId="13" fillId="0" borderId="37" xfId="1328" applyFont="1" applyBorder="1"/>
    <xf numFmtId="0" fontId="13" fillId="0" borderId="157" xfId="1328" applyFont="1" applyBorder="1"/>
    <xf numFmtId="0" fontId="13" fillId="0" borderId="167" xfId="1328" applyFont="1" applyBorder="1"/>
    <xf numFmtId="167" fontId="12" fillId="0" borderId="200" xfId="1328" applyNumberFormat="1" applyBorder="1"/>
    <xf numFmtId="167" fontId="12" fillId="0" borderId="0" xfId="1328" applyNumberFormat="1"/>
    <xf numFmtId="0" fontId="13" fillId="0" borderId="167" xfId="1328" applyFont="1" applyBorder="1" applyAlignment="1">
      <alignment wrapText="1"/>
    </xf>
    <xf numFmtId="0" fontId="12" fillId="0" borderId="0" xfId="1328" applyAlignment="1">
      <alignment horizontal="center"/>
    </xf>
    <xf numFmtId="0" fontId="12" fillId="0" borderId="0" xfId="1328" applyAlignment="1">
      <alignment horizontal="center" vertical="center"/>
    </xf>
    <xf numFmtId="0" fontId="13" fillId="0" borderId="132" xfId="1328" applyFont="1" applyBorder="1"/>
    <xf numFmtId="0" fontId="13" fillId="0" borderId="13" xfId="1328" applyFont="1" applyBorder="1" applyAlignment="1">
      <alignment wrapText="1"/>
    </xf>
    <xf numFmtId="0" fontId="13" fillId="0" borderId="31" xfId="1328" applyFont="1" applyBorder="1"/>
    <xf numFmtId="0" fontId="13" fillId="0" borderId="25" xfId="1328" applyFont="1" applyBorder="1"/>
    <xf numFmtId="169" fontId="13" fillId="0" borderId="25" xfId="1328" applyNumberFormat="1" applyFont="1" applyBorder="1"/>
    <xf numFmtId="0" fontId="12" fillId="0" borderId="0" xfId="1329"/>
    <xf numFmtId="0" fontId="29" fillId="0" borderId="0" xfId="1329" applyFont="1"/>
    <xf numFmtId="0" fontId="40" fillId="0" borderId="0" xfId="1329" applyFont="1"/>
    <xf numFmtId="0" fontId="43" fillId="0" borderId="0" xfId="1329" applyFont="1"/>
    <xf numFmtId="16" fontId="40" fillId="0" borderId="0" xfId="1329" applyNumberFormat="1" applyFont="1"/>
    <xf numFmtId="0" fontId="29" fillId="0" borderId="0" xfId="1329" applyFont="1" applyAlignment="1">
      <alignment horizontal="right"/>
    </xf>
    <xf numFmtId="0" fontId="24" fillId="0" borderId="0" xfId="1329" applyFont="1"/>
    <xf numFmtId="0" fontId="24" fillId="0" borderId="28" xfId="1329" applyFont="1" applyBorder="1" applyAlignment="1">
      <alignment horizontal="right"/>
    </xf>
    <xf numFmtId="1" fontId="40" fillId="0" borderId="36" xfId="1329" applyNumberFormat="1" applyFont="1" applyBorder="1" applyAlignment="1">
      <alignment horizontal="center"/>
    </xf>
    <xf numFmtId="0" fontId="40" fillId="0" borderId="123" xfId="1329" applyFont="1" applyBorder="1"/>
    <xf numFmtId="1" fontId="40" fillId="0" borderId="195" xfId="1329" applyNumberFormat="1" applyFont="1" applyBorder="1" applyAlignment="1">
      <alignment horizontal="center"/>
    </xf>
    <xf numFmtId="1" fontId="24" fillId="0" borderId="28" xfId="1329" applyNumberFormat="1" applyFont="1" applyBorder="1" applyAlignment="1">
      <alignment horizontal="center"/>
    </xf>
    <xf numFmtId="0" fontId="12" fillId="0" borderId="124" xfId="1329" applyBorder="1" applyAlignment="1">
      <alignment horizontal="center"/>
    </xf>
    <xf numFmtId="0" fontId="10" fillId="0" borderId="0" xfId="1329" applyFont="1" applyAlignment="1">
      <alignment wrapText="1"/>
    </xf>
    <xf numFmtId="0" fontId="40" fillId="0" borderId="40" xfId="1329" applyFont="1" applyBorder="1"/>
    <xf numFmtId="1" fontId="40" fillId="0" borderId="157" xfId="1329" applyNumberFormat="1" applyFont="1" applyBorder="1" applyAlignment="1">
      <alignment horizontal="center"/>
    </xf>
    <xf numFmtId="1" fontId="40" fillId="0" borderId="35" xfId="1329" applyNumberFormat="1" applyFont="1" applyBorder="1" applyAlignment="1">
      <alignment horizontal="center"/>
    </xf>
    <xf numFmtId="0" fontId="12" fillId="0" borderId="158" xfId="1329" applyBorder="1" applyAlignment="1">
      <alignment horizontal="center"/>
    </xf>
    <xf numFmtId="0" fontId="40" fillId="0" borderId="120" xfId="1329" applyFont="1" applyBorder="1"/>
    <xf numFmtId="0" fontId="33" fillId="0" borderId="0" xfId="1329" applyFont="1" applyAlignment="1">
      <alignment horizontal="center" wrapText="1"/>
    </xf>
    <xf numFmtId="0" fontId="40" fillId="0" borderId="195" xfId="1329" applyFont="1" applyBorder="1" applyAlignment="1">
      <alignment horizontal="center"/>
    </xf>
    <xf numFmtId="0" fontId="40" fillId="0" borderId="120" xfId="1329" applyFont="1" applyBorder="1" applyAlignment="1">
      <alignment wrapText="1"/>
    </xf>
    <xf numFmtId="0" fontId="24" fillId="0" borderId="31" xfId="1329" applyFont="1" applyBorder="1"/>
    <xf numFmtId="1" fontId="24" fillId="0" borderId="26" xfId="1329" applyNumberFormat="1" applyFont="1" applyBorder="1" applyAlignment="1">
      <alignment horizontal="center"/>
    </xf>
    <xf numFmtId="0" fontId="40" fillId="0" borderId="35" xfId="1329" applyFont="1" applyBorder="1" applyAlignment="1">
      <alignment horizontal="center"/>
    </xf>
    <xf numFmtId="0" fontId="40" fillId="0" borderId="194" xfId="1329" applyFont="1" applyBorder="1"/>
    <xf numFmtId="1" fontId="40" fillId="0" borderId="164" xfId="1329" applyNumberFormat="1" applyFont="1" applyBorder="1" applyAlignment="1">
      <alignment horizontal="center"/>
    </xf>
    <xf numFmtId="1" fontId="24" fillId="0" borderId="31" xfId="1329" applyNumberFormat="1" applyFont="1" applyBorder="1" applyAlignment="1">
      <alignment horizontal="center"/>
    </xf>
    <xf numFmtId="0" fontId="12" fillId="0" borderId="38" xfId="1329" applyBorder="1" applyAlignment="1">
      <alignment horizontal="center"/>
    </xf>
    <xf numFmtId="1" fontId="40" fillId="0" borderId="20" xfId="1329" applyNumberFormat="1" applyFont="1" applyBorder="1" applyAlignment="1">
      <alignment horizontal="center"/>
    </xf>
    <xf numFmtId="0" fontId="40" fillId="0" borderId="164" xfId="1329" applyFont="1" applyBorder="1" applyAlignment="1">
      <alignment horizontal="center"/>
    </xf>
    <xf numFmtId="169" fontId="9" fillId="0" borderId="167" xfId="0" applyNumberFormat="1" applyFont="1" applyBorder="1" applyAlignment="1">
      <alignment horizontal="right" vertical="top" wrapText="1"/>
    </xf>
    <xf numFmtId="167" fontId="8" fillId="0" borderId="167" xfId="0" applyNumberFormat="1" applyFont="1" applyBorder="1" applyAlignment="1">
      <alignment horizontal="right"/>
    </xf>
    <xf numFmtId="0" fontId="8" fillId="0" borderId="167" xfId="0" applyFont="1" applyBorder="1" applyAlignment="1">
      <alignment horizontal="right" vertical="top" wrapText="1"/>
    </xf>
    <xf numFmtId="0" fontId="8" fillId="0" borderId="164" xfId="0" applyFont="1" applyBorder="1"/>
    <xf numFmtId="0" fontId="8" fillId="0" borderId="167" xfId="0" applyFont="1" applyBorder="1" applyAlignment="1">
      <alignment horizontal="right"/>
    </xf>
    <xf numFmtId="168" fontId="8" fillId="0" borderId="167" xfId="0" applyNumberFormat="1" applyFont="1" applyBorder="1" applyAlignment="1">
      <alignment horizontal="right"/>
    </xf>
    <xf numFmtId="0" fontId="8" fillId="0" borderId="167" xfId="0" applyFont="1" applyBorder="1"/>
    <xf numFmtId="0" fontId="8" fillId="0" borderId="167" xfId="0" applyFont="1" applyBorder="1" applyAlignment="1">
      <alignment vertical="center"/>
    </xf>
    <xf numFmtId="0" fontId="8" fillId="0" borderId="167" xfId="0" applyFont="1" applyBorder="1" applyAlignment="1">
      <alignment wrapText="1"/>
    </xf>
    <xf numFmtId="169" fontId="9" fillId="0" borderId="167" xfId="0" applyNumberFormat="1" applyFont="1" applyBorder="1" applyAlignment="1">
      <alignment horizontal="right" vertical="center"/>
    </xf>
    <xf numFmtId="0" fontId="9" fillId="0" borderId="167" xfId="0" applyFont="1" applyBorder="1" applyAlignment="1">
      <alignment wrapText="1"/>
    </xf>
    <xf numFmtId="167" fontId="9" fillId="0" borderId="167" xfId="0" applyNumberFormat="1" applyFont="1" applyBorder="1" applyAlignment="1">
      <alignment horizontal="right"/>
    </xf>
    <xf numFmtId="0" fontId="9" fillId="0" borderId="167" xfId="0" applyFont="1" applyBorder="1" applyAlignment="1">
      <alignment horizontal="right"/>
    </xf>
    <xf numFmtId="166" fontId="9" fillId="0" borderId="167" xfId="0" applyNumberFormat="1" applyFont="1" applyBorder="1" applyAlignment="1">
      <alignment horizontal="right" vertical="center" wrapText="1"/>
    </xf>
    <xf numFmtId="166" fontId="8" fillId="0" borderId="167" xfId="0" applyNumberFormat="1" applyFont="1" applyBorder="1" applyAlignment="1">
      <alignment horizontal="right" vertical="center"/>
    </xf>
    <xf numFmtId="0" fontId="31" fillId="0" borderId="167" xfId="0" applyFont="1" applyBorder="1" applyAlignment="1">
      <alignment vertical="center" wrapText="1"/>
    </xf>
    <xf numFmtId="167" fontId="9" fillId="0" borderId="167" xfId="0" applyNumberFormat="1" applyFont="1" applyBorder="1" applyAlignment="1">
      <alignment horizontal="right" vertical="center" wrapText="1"/>
    </xf>
    <xf numFmtId="168" fontId="9" fillId="0" borderId="167" xfId="0" applyNumberFormat="1" applyFont="1" applyBorder="1" applyAlignment="1">
      <alignment horizontal="right" vertical="center"/>
    </xf>
    <xf numFmtId="167" fontId="13" fillId="0" borderId="37" xfId="1328" applyNumberFormat="1" applyFont="1" applyBorder="1"/>
    <xf numFmtId="167" fontId="12" fillId="0" borderId="37" xfId="1328" applyNumberFormat="1" applyBorder="1"/>
    <xf numFmtId="167" fontId="12" fillId="0" borderId="38" xfId="1328" applyNumberFormat="1" applyBorder="1"/>
    <xf numFmtId="167" fontId="12" fillId="0" borderId="167" xfId="1328" applyNumberFormat="1" applyBorder="1"/>
    <xf numFmtId="167" fontId="12" fillId="0" borderId="158" xfId="1328" applyNumberFormat="1" applyBorder="1"/>
    <xf numFmtId="169" fontId="12" fillId="0" borderId="167" xfId="1328" applyNumberFormat="1" applyBorder="1"/>
    <xf numFmtId="169" fontId="12" fillId="0" borderId="158" xfId="1328" applyNumberFormat="1" applyBorder="1"/>
    <xf numFmtId="167" fontId="12" fillId="0" borderId="13" xfId="1328" applyNumberFormat="1" applyBorder="1"/>
    <xf numFmtId="167" fontId="12" fillId="0" borderId="124" xfId="1328" applyNumberFormat="1" applyBorder="1"/>
    <xf numFmtId="167" fontId="12" fillId="0" borderId="7" xfId="0" applyNumberFormat="1" applyFont="1" applyBorder="1" applyAlignment="1">
      <alignment vertical="top"/>
    </xf>
    <xf numFmtId="167" fontId="12" fillId="0" borderId="1" xfId="0" applyNumberFormat="1" applyFont="1" applyBorder="1" applyAlignment="1">
      <alignment vertical="top"/>
    </xf>
    <xf numFmtId="0" fontId="12" fillId="0" borderId="121" xfId="0" applyFont="1" applyBorder="1" applyAlignment="1">
      <alignment vertical="top"/>
    </xf>
    <xf numFmtId="0" fontId="12" fillId="0" borderId="122" xfId="0" applyFont="1" applyBorder="1" applyAlignment="1">
      <alignment vertical="top"/>
    </xf>
    <xf numFmtId="167" fontId="13" fillId="0" borderId="1" xfId="0" applyNumberFormat="1" applyFont="1" applyBorder="1" applyAlignment="1">
      <alignment vertical="top"/>
    </xf>
    <xf numFmtId="167" fontId="13" fillId="0" borderId="7" xfId="0" applyNumberFormat="1" applyFont="1" applyBorder="1" applyAlignment="1">
      <alignment vertical="top"/>
    </xf>
    <xf numFmtId="167" fontId="13" fillId="0" borderId="9" xfId="0" applyNumberFormat="1" applyFont="1" applyBorder="1" applyAlignment="1">
      <alignment vertical="top"/>
    </xf>
    <xf numFmtId="169" fontId="13" fillId="0" borderId="7" xfId="0" applyNumberFormat="1" applyFont="1" applyBorder="1" applyAlignment="1">
      <alignment vertical="top"/>
    </xf>
    <xf numFmtId="167" fontId="13" fillId="0" borderId="164" xfId="0" applyNumberFormat="1" applyFont="1" applyBorder="1" applyAlignment="1">
      <alignment vertical="top"/>
    </xf>
    <xf numFmtId="167" fontId="13" fillId="0" borderId="158" xfId="0" applyNumberFormat="1" applyFont="1" applyBorder="1" applyAlignment="1">
      <alignment vertical="top"/>
    </xf>
    <xf numFmtId="169" fontId="13" fillId="0" borderId="164" xfId="0" applyNumberFormat="1" applyFont="1" applyBorder="1" applyAlignment="1">
      <alignment vertical="top"/>
    </xf>
    <xf numFmtId="167" fontId="12" fillId="0" borderId="61" xfId="0" applyNumberFormat="1" applyFont="1" applyBorder="1" applyAlignment="1">
      <alignment vertical="top"/>
    </xf>
    <xf numFmtId="167" fontId="12" fillId="0" borderId="119" xfId="0" applyNumberFormat="1" applyFont="1" applyBorder="1" applyAlignment="1">
      <alignment vertical="top"/>
    </xf>
    <xf numFmtId="167" fontId="12" fillId="0" borderId="121" xfId="0" applyNumberFormat="1" applyFont="1" applyBorder="1" applyAlignment="1">
      <alignment vertical="top"/>
    </xf>
    <xf numFmtId="167" fontId="12" fillId="0" borderId="122" xfId="0" applyNumberFormat="1" applyFont="1" applyBorder="1" applyAlignment="1">
      <alignment vertical="top"/>
    </xf>
    <xf numFmtId="167" fontId="13" fillId="0" borderId="119" xfId="0" applyNumberFormat="1" applyFont="1" applyBorder="1" applyAlignment="1">
      <alignment vertical="top"/>
    </xf>
    <xf numFmtId="0" fontId="13" fillId="0" borderId="121" xfId="0" applyFont="1" applyBorder="1" applyAlignment="1">
      <alignment vertical="top"/>
    </xf>
    <xf numFmtId="0" fontId="13" fillId="0" borderId="122" xfId="0" applyFont="1" applyBorder="1" applyAlignment="1">
      <alignment vertical="top"/>
    </xf>
    <xf numFmtId="167" fontId="13" fillId="0" borderId="120" xfId="0" applyNumberFormat="1" applyFont="1" applyBorder="1" applyAlignment="1">
      <alignment vertical="top"/>
    </xf>
    <xf numFmtId="169" fontId="12" fillId="0" borderId="7" xfId="0" applyNumberFormat="1" applyFont="1" applyBorder="1" applyAlignment="1">
      <alignment vertical="top"/>
    </xf>
    <xf numFmtId="167" fontId="12" fillId="0" borderId="158" xfId="0" applyNumberFormat="1" applyFont="1" applyBorder="1" applyAlignment="1">
      <alignment vertical="top"/>
    </xf>
    <xf numFmtId="169" fontId="12" fillId="0" borderId="157" xfId="0" applyNumberFormat="1" applyFont="1" applyBorder="1" applyAlignment="1">
      <alignment vertical="top"/>
    </xf>
    <xf numFmtId="167" fontId="12" fillId="0" borderId="157" xfId="0" applyNumberFormat="1" applyFont="1" applyBorder="1" applyAlignment="1">
      <alignment vertical="top"/>
    </xf>
    <xf numFmtId="167" fontId="12" fillId="0" borderId="164" xfId="0" applyNumberFormat="1" applyFont="1" applyBorder="1" applyAlignment="1">
      <alignment vertical="top"/>
    </xf>
    <xf numFmtId="0" fontId="12" fillId="0" borderId="157" xfId="0" applyFont="1" applyBorder="1" applyAlignment="1">
      <alignment vertical="top"/>
    </xf>
    <xf numFmtId="0" fontId="12" fillId="0" borderId="158" xfId="0" applyFont="1" applyBorder="1" applyAlignment="1">
      <alignment vertical="top"/>
    </xf>
    <xf numFmtId="169" fontId="13" fillId="0" borderId="1" xfId="0" applyNumberFormat="1" applyFont="1" applyBorder="1" applyAlignment="1">
      <alignment vertical="top"/>
    </xf>
    <xf numFmtId="169" fontId="12" fillId="0" borderId="1" xfId="0" applyNumberFormat="1" applyFont="1" applyBorder="1" applyAlignment="1">
      <alignment vertical="top"/>
    </xf>
    <xf numFmtId="167" fontId="12" fillId="0" borderId="8" xfId="0" applyNumberFormat="1" applyFont="1" applyBorder="1" applyAlignment="1">
      <alignment vertical="top"/>
    </xf>
    <xf numFmtId="167" fontId="12" fillId="0" borderId="67" xfId="0" applyNumberFormat="1" applyFont="1" applyBorder="1" applyAlignment="1">
      <alignment vertical="top"/>
    </xf>
    <xf numFmtId="167" fontId="12" fillId="0" borderId="120" xfId="0" applyNumberFormat="1" applyFont="1" applyBorder="1" applyAlignment="1">
      <alignment vertical="top"/>
    </xf>
    <xf numFmtId="169" fontId="13" fillId="0" borderId="120" xfId="0" applyNumberFormat="1" applyFont="1" applyBorder="1" applyAlignment="1">
      <alignment vertical="top"/>
    </xf>
    <xf numFmtId="169" fontId="13" fillId="0" borderId="158" xfId="0" applyNumberFormat="1" applyFont="1" applyBorder="1" applyAlignment="1">
      <alignment vertical="top"/>
    </xf>
    <xf numFmtId="167" fontId="13" fillId="0" borderId="8" xfId="0" applyNumberFormat="1" applyFont="1" applyBorder="1" applyAlignment="1">
      <alignment vertical="top"/>
    </xf>
    <xf numFmtId="169" fontId="13" fillId="0" borderId="119" xfId="0" applyNumberFormat="1" applyFont="1" applyBorder="1" applyAlignment="1">
      <alignment vertical="top"/>
    </xf>
    <xf numFmtId="167" fontId="13" fillId="0" borderId="157" xfId="0" applyNumberFormat="1" applyFont="1" applyBorder="1" applyAlignment="1">
      <alignment vertical="top"/>
    </xf>
    <xf numFmtId="0" fontId="13" fillId="0" borderId="157" xfId="0" applyFont="1" applyBorder="1" applyAlignment="1">
      <alignment vertical="top"/>
    </xf>
    <xf numFmtId="0" fontId="13" fillId="0" borderId="158" xfId="0" applyFont="1" applyBorder="1" applyAlignment="1">
      <alignment vertical="top"/>
    </xf>
    <xf numFmtId="167" fontId="13" fillId="0" borderId="121" xfId="0" applyNumberFormat="1" applyFont="1" applyBorder="1" applyAlignment="1">
      <alignment vertical="top"/>
    </xf>
    <xf numFmtId="167" fontId="13" fillId="0" borderId="122" xfId="0" applyNumberFormat="1" applyFont="1" applyBorder="1" applyAlignment="1">
      <alignment vertical="top"/>
    </xf>
    <xf numFmtId="167" fontId="13" fillId="0" borderId="132" xfId="0" applyNumberFormat="1" applyFont="1" applyBorder="1" applyAlignment="1">
      <alignment vertical="top"/>
    </xf>
    <xf numFmtId="167" fontId="13" fillId="0" borderId="124" xfId="0" applyNumberFormat="1" applyFont="1" applyBorder="1" applyAlignment="1">
      <alignment vertical="top"/>
    </xf>
    <xf numFmtId="167" fontId="13" fillId="0" borderId="192" xfId="0" applyNumberFormat="1" applyFont="1" applyBorder="1" applyAlignment="1">
      <alignment vertical="top"/>
    </xf>
    <xf numFmtId="0" fontId="13" fillId="0" borderId="132" xfId="0" applyFont="1" applyBorder="1" applyAlignment="1">
      <alignment vertical="top"/>
    </xf>
    <xf numFmtId="0" fontId="13" fillId="0" borderId="124" xfId="0" applyFont="1" applyBorder="1" applyAlignment="1">
      <alignment vertical="top"/>
    </xf>
    <xf numFmtId="169" fontId="13" fillId="0" borderId="31" xfId="0" applyNumberFormat="1" applyFont="1" applyBorder="1" applyAlignment="1">
      <alignment vertical="top"/>
    </xf>
    <xf numFmtId="167" fontId="13" fillId="0" borderId="26" xfId="0" applyNumberFormat="1" applyFont="1" applyBorder="1" applyAlignment="1">
      <alignment vertical="top"/>
    </xf>
    <xf numFmtId="167" fontId="13" fillId="0" borderId="29" xfId="0" applyNumberFormat="1" applyFont="1" applyBorder="1" applyAlignment="1">
      <alignment vertical="top"/>
    </xf>
    <xf numFmtId="2" fontId="13" fillId="0" borderId="29" xfId="0" applyNumberFormat="1" applyFont="1" applyBorder="1" applyAlignment="1">
      <alignment vertical="top"/>
    </xf>
    <xf numFmtId="168" fontId="13" fillId="0" borderId="29" xfId="0" applyNumberFormat="1" applyFont="1" applyBorder="1" applyAlignment="1">
      <alignment vertical="top"/>
    </xf>
    <xf numFmtId="169" fontId="13" fillId="0" borderId="26" xfId="0" applyNumberFormat="1" applyFont="1" applyBorder="1" applyAlignment="1">
      <alignment vertical="top"/>
    </xf>
    <xf numFmtId="167" fontId="13" fillId="0" borderId="28" xfId="0" applyNumberFormat="1" applyFont="1" applyBorder="1" applyAlignment="1">
      <alignment vertical="top"/>
    </xf>
    <xf numFmtId="167" fontId="13" fillId="0" borderId="36" xfId="0" applyNumberFormat="1" applyFont="1" applyBorder="1" applyAlignment="1">
      <alignment vertical="top"/>
    </xf>
    <xf numFmtId="167" fontId="13" fillId="0" borderId="38" xfId="0" applyNumberFormat="1" applyFont="1" applyBorder="1" applyAlignment="1">
      <alignment vertical="top"/>
    </xf>
    <xf numFmtId="167" fontId="13" fillId="0" borderId="35" xfId="0" applyNumberFormat="1" applyFont="1" applyBorder="1" applyAlignment="1">
      <alignment vertical="top"/>
    </xf>
    <xf numFmtId="0" fontId="13" fillId="0" borderId="36" xfId="0" applyFont="1" applyBorder="1" applyAlignment="1">
      <alignment vertical="top"/>
    </xf>
    <xf numFmtId="0" fontId="13" fillId="0" borderId="38" xfId="0" applyFont="1" applyBorder="1" applyAlignment="1">
      <alignment vertical="top"/>
    </xf>
    <xf numFmtId="167" fontId="13" fillId="0" borderId="15" xfId="0" applyNumberFormat="1" applyFont="1" applyBorder="1" applyAlignment="1">
      <alignment vertical="top"/>
    </xf>
    <xf numFmtId="167" fontId="13" fillId="0" borderId="16" xfId="0" applyNumberFormat="1" applyFont="1" applyBorder="1" applyAlignment="1">
      <alignment vertical="top"/>
    </xf>
    <xf numFmtId="167" fontId="13" fillId="0" borderId="130" xfId="0" applyNumberFormat="1" applyFont="1" applyBorder="1" applyAlignment="1">
      <alignment vertical="top"/>
    </xf>
    <xf numFmtId="167" fontId="13" fillId="0" borderId="79" xfId="0" applyNumberFormat="1" applyFont="1" applyBorder="1" applyAlignment="1">
      <alignment vertical="top"/>
    </xf>
    <xf numFmtId="167" fontId="13" fillId="0" borderId="42" xfId="0" applyNumberFormat="1" applyFont="1" applyBorder="1" applyAlignment="1">
      <alignment vertical="top"/>
    </xf>
    <xf numFmtId="0" fontId="12" fillId="0" borderId="7" xfId="9" applyBorder="1" applyAlignment="1">
      <alignment horizontal="right" vertical="top" wrapText="1"/>
    </xf>
    <xf numFmtId="167" fontId="12" fillId="0" borderId="1" xfId="9" applyNumberFormat="1" applyBorder="1" applyAlignment="1">
      <alignment horizontal="right" vertical="center" wrapText="1"/>
    </xf>
    <xf numFmtId="0" fontId="12" fillId="0" borderId="7" xfId="9" applyBorder="1" applyAlignment="1">
      <alignment horizontal="center" vertical="top" wrapText="1"/>
    </xf>
    <xf numFmtId="0" fontId="12" fillId="0" borderId="1" xfId="9" applyBorder="1" applyAlignment="1">
      <alignment horizontal="center" vertical="top" wrapText="1"/>
    </xf>
    <xf numFmtId="0" fontId="12" fillId="0" borderId="119" xfId="9" applyBorder="1" applyAlignment="1">
      <alignment horizontal="center" vertical="top" wrapText="1"/>
    </xf>
    <xf numFmtId="167" fontId="12" fillId="0" borderId="60" xfId="0" applyNumberFormat="1" applyFont="1" applyBorder="1" applyAlignment="1">
      <alignment vertical="top"/>
    </xf>
    <xf numFmtId="167" fontId="12" fillId="0" borderId="7" xfId="9" applyNumberFormat="1" applyBorder="1" applyAlignment="1">
      <alignment horizontal="right" vertical="top" wrapText="1"/>
    </xf>
    <xf numFmtId="167" fontId="12" fillId="0" borderId="1" xfId="9" applyNumberFormat="1" applyBorder="1" applyAlignment="1">
      <alignment horizontal="right" vertical="top" wrapText="1"/>
    </xf>
    <xf numFmtId="168" fontId="12" fillId="0" borderId="7" xfId="0" applyNumberFormat="1" applyFont="1" applyBorder="1" applyAlignment="1">
      <alignment vertical="top"/>
    </xf>
    <xf numFmtId="167" fontId="12" fillId="0" borderId="163" xfId="0" applyNumberFormat="1" applyFont="1" applyBorder="1"/>
    <xf numFmtId="0" fontId="12" fillId="0" borderId="157" xfId="0" applyFont="1" applyBorder="1"/>
    <xf numFmtId="0" fontId="12" fillId="0" borderId="158" xfId="0" applyFont="1" applyBorder="1"/>
    <xf numFmtId="167" fontId="13" fillId="0" borderId="115" xfId="0" applyNumberFormat="1" applyFont="1" applyBorder="1"/>
    <xf numFmtId="169" fontId="13" fillId="0" borderId="62" xfId="0" applyNumberFormat="1" applyFont="1" applyBorder="1"/>
    <xf numFmtId="167" fontId="13" fillId="0" borderId="63" xfId="0" applyNumberFormat="1" applyFont="1" applyBorder="1"/>
    <xf numFmtId="167" fontId="13" fillId="0" borderId="196" xfId="0" applyNumberFormat="1" applyFont="1" applyBorder="1"/>
    <xf numFmtId="0" fontId="13" fillId="0" borderId="157" xfId="0" applyFont="1" applyBorder="1"/>
    <xf numFmtId="168" fontId="12" fillId="0" borderId="153" xfId="0" applyNumberFormat="1" applyFont="1" applyBorder="1"/>
    <xf numFmtId="168" fontId="12" fillId="0" borderId="154" xfId="0" applyNumberFormat="1" applyFont="1" applyBorder="1"/>
    <xf numFmtId="168" fontId="12" fillId="0" borderId="151" xfId="0" applyNumberFormat="1" applyFont="1" applyBorder="1"/>
    <xf numFmtId="168" fontId="12" fillId="0" borderId="163" xfId="0" applyNumberFormat="1" applyFont="1" applyBorder="1"/>
    <xf numFmtId="167" fontId="12" fillId="0" borderId="149" xfId="0" applyNumberFormat="1" applyFont="1" applyBorder="1"/>
    <xf numFmtId="167" fontId="12" fillId="0" borderId="121" xfId="0" applyNumberFormat="1" applyFont="1" applyBorder="1"/>
    <xf numFmtId="167" fontId="12" fillId="0" borderId="122" xfId="0" applyNumberFormat="1" applyFont="1" applyBorder="1"/>
    <xf numFmtId="167" fontId="12" fillId="0" borderId="164" xfId="0" applyNumberFormat="1" applyFont="1" applyBorder="1"/>
    <xf numFmtId="167" fontId="12" fillId="0" borderId="157" xfId="0" applyNumberFormat="1" applyFont="1" applyBorder="1"/>
    <xf numFmtId="168" fontId="12" fillId="0" borderId="164" xfId="0" applyNumberFormat="1" applyFont="1" applyBorder="1"/>
    <xf numFmtId="168" fontId="12" fillId="0" borderId="157" xfId="0" applyNumberFormat="1" applyFont="1" applyBorder="1"/>
    <xf numFmtId="167" fontId="13" fillId="0" borderId="163" xfId="0" applyNumberFormat="1" applyFont="1" applyBorder="1"/>
    <xf numFmtId="167" fontId="13" fillId="0" borderId="154" xfId="0" applyNumberFormat="1" applyFont="1" applyBorder="1"/>
    <xf numFmtId="167" fontId="12" fillId="0" borderId="153" xfId="0" applyNumberFormat="1" applyFont="1" applyBorder="1"/>
    <xf numFmtId="167" fontId="12" fillId="0" borderId="154" xfId="0" applyNumberFormat="1" applyFont="1" applyBorder="1"/>
    <xf numFmtId="167" fontId="12" fillId="0" borderId="151" xfId="0" applyNumberFormat="1" applyFont="1" applyBorder="1"/>
    <xf numFmtId="167" fontId="13" fillId="0" borderId="157" xfId="0" applyNumberFormat="1" applyFont="1" applyBorder="1"/>
    <xf numFmtId="167" fontId="13" fillId="0" borderId="126" xfId="0" applyNumberFormat="1" applyFont="1" applyBorder="1"/>
    <xf numFmtId="167" fontId="13" fillId="0" borderId="153" xfId="0" applyNumberFormat="1" applyFont="1" applyBorder="1"/>
    <xf numFmtId="167" fontId="12" fillId="0" borderId="67" xfId="0" applyNumberFormat="1" applyFont="1" applyBorder="1"/>
    <xf numFmtId="167" fontId="12" fillId="0" borderId="125" xfId="0" applyNumberFormat="1" applyFont="1" applyBorder="1"/>
    <xf numFmtId="167" fontId="13" fillId="0" borderId="127" xfId="0" applyNumberFormat="1" applyFont="1" applyBorder="1"/>
    <xf numFmtId="168" fontId="13" fillId="0" borderId="134" xfId="0" applyNumberFormat="1" applyFont="1" applyBorder="1"/>
    <xf numFmtId="167" fontId="12" fillId="0" borderId="154" xfId="0" applyNumberFormat="1" applyFont="1" applyBorder="1" applyAlignment="1">
      <alignment horizontal="center"/>
    </xf>
    <xf numFmtId="167" fontId="12" fillId="0" borderId="140" xfId="0" applyNumberFormat="1" applyFont="1" applyBorder="1"/>
    <xf numFmtId="167" fontId="12" fillId="0" borderId="58" xfId="0" applyNumberFormat="1" applyFont="1" applyBorder="1"/>
    <xf numFmtId="167" fontId="12" fillId="0" borderId="172" xfId="0" applyNumberFormat="1" applyFont="1" applyBorder="1"/>
    <xf numFmtId="167" fontId="12" fillId="0" borderId="158" xfId="0" applyNumberFormat="1" applyFont="1" applyBorder="1"/>
    <xf numFmtId="167" fontId="12" fillId="0" borderId="135" xfId="0" applyNumberFormat="1" applyFont="1" applyBorder="1"/>
    <xf numFmtId="167" fontId="12" fillId="0" borderId="155" xfId="0" applyNumberFormat="1" applyFont="1" applyBorder="1"/>
    <xf numFmtId="167" fontId="13" fillId="0" borderId="164" xfId="0" applyNumberFormat="1" applyFont="1" applyBorder="1"/>
    <xf numFmtId="167" fontId="12" fillId="0" borderId="126" xfId="0" applyNumberFormat="1" applyFont="1" applyBorder="1"/>
    <xf numFmtId="167" fontId="12" fillId="0" borderId="0" xfId="0" applyNumberFormat="1" applyFont="1"/>
    <xf numFmtId="167" fontId="12" fillId="0" borderId="72" xfId="0" applyNumberFormat="1" applyFont="1" applyBorder="1"/>
    <xf numFmtId="169" fontId="13" fillId="0" borderId="157" xfId="0" applyNumberFormat="1" applyFont="1" applyBorder="1"/>
    <xf numFmtId="167" fontId="13" fillId="0" borderId="0" xfId="0" applyNumberFormat="1" applyFont="1"/>
    <xf numFmtId="169" fontId="12" fillId="0" borderId="72" xfId="0" applyNumberFormat="1" applyFont="1" applyBorder="1"/>
    <xf numFmtId="167" fontId="12" fillId="0" borderId="196" xfId="0" applyNumberFormat="1" applyFont="1" applyBorder="1"/>
    <xf numFmtId="167" fontId="12" fillId="0" borderId="181" xfId="0" applyNumberFormat="1" applyFont="1" applyBorder="1"/>
    <xf numFmtId="167" fontId="12" fillId="0" borderId="47" xfId="0" applyNumberFormat="1" applyFont="1" applyBorder="1"/>
    <xf numFmtId="167" fontId="12" fillId="0" borderId="106" xfId="0" applyNumberFormat="1" applyFont="1" applyBorder="1"/>
    <xf numFmtId="167" fontId="13" fillId="0" borderId="151" xfId="0" applyNumberFormat="1" applyFont="1" applyBorder="1"/>
    <xf numFmtId="167" fontId="13" fillId="0" borderId="135" xfId="0" applyNumberFormat="1" applyFont="1" applyBorder="1"/>
    <xf numFmtId="167" fontId="13" fillId="0" borderId="159" xfId="0" applyNumberFormat="1" applyFont="1" applyBorder="1"/>
    <xf numFmtId="167" fontId="13" fillId="0" borderId="160" xfId="0" applyNumberFormat="1" applyFont="1" applyBorder="1"/>
    <xf numFmtId="167" fontId="13" fillId="0" borderId="155" xfId="0" applyNumberFormat="1" applyFont="1" applyBorder="1"/>
    <xf numFmtId="167" fontId="13" fillId="0" borderId="156" xfId="0" applyNumberFormat="1" applyFont="1" applyBorder="1"/>
    <xf numFmtId="167" fontId="13" fillId="0" borderId="178" xfId="0" applyNumberFormat="1" applyFont="1" applyBorder="1"/>
    <xf numFmtId="167" fontId="13" fillId="0" borderId="179" xfId="0" applyNumberFormat="1" applyFont="1" applyBorder="1"/>
    <xf numFmtId="167" fontId="13" fillId="0" borderId="125" xfId="0" applyNumberFormat="1" applyFont="1" applyBorder="1"/>
    <xf numFmtId="167" fontId="12" fillId="0" borderId="132" xfId="0" applyNumberFormat="1" applyFont="1" applyBorder="1"/>
    <xf numFmtId="167" fontId="12" fillId="0" borderId="124" xfId="0" applyNumberFormat="1" applyFont="1" applyBorder="1"/>
    <xf numFmtId="169" fontId="13" fillId="0" borderId="68" xfId="0" applyNumberFormat="1" applyFont="1" applyBorder="1"/>
    <xf numFmtId="169" fontId="13" fillId="0" borderId="29" xfId="0" applyNumberFormat="1" applyFont="1" applyBorder="1"/>
    <xf numFmtId="169" fontId="13" fillId="0" borderId="26" xfId="0" applyNumberFormat="1" applyFont="1" applyBorder="1"/>
    <xf numFmtId="167" fontId="13" fillId="0" borderId="70" xfId="0" applyNumberFormat="1" applyFont="1" applyBorder="1"/>
    <xf numFmtId="169" fontId="13" fillId="0" borderId="71" xfId="0" applyNumberFormat="1" applyFont="1" applyBorder="1"/>
    <xf numFmtId="167" fontId="13" fillId="0" borderId="100" xfId="0" applyNumberFormat="1" applyFont="1" applyBorder="1"/>
    <xf numFmtId="167" fontId="13" fillId="0" borderId="161" xfId="0" applyNumberFormat="1" applyFont="1" applyBorder="1"/>
    <xf numFmtId="167" fontId="13" fillId="0" borderId="186" xfId="0" applyNumberFormat="1" applyFont="1" applyBorder="1"/>
    <xf numFmtId="167" fontId="13" fillId="0" borderId="187" xfId="0" applyNumberFormat="1" applyFont="1" applyBorder="1"/>
    <xf numFmtId="169" fontId="13" fillId="0" borderId="59" xfId="0" applyNumberFormat="1" applyFont="1" applyBorder="1"/>
    <xf numFmtId="169" fontId="13" fillId="0" borderId="58" xfId="0" applyNumberFormat="1" applyFont="1" applyBorder="1"/>
    <xf numFmtId="167" fontId="13" fillId="0" borderId="76" xfId="0" applyNumberFormat="1" applyFont="1" applyBorder="1"/>
    <xf numFmtId="167" fontId="13" fillId="0" borderId="150" xfId="0" applyNumberFormat="1" applyFont="1" applyBorder="1"/>
    <xf numFmtId="167" fontId="13" fillId="0" borderId="162" xfId="0" applyNumberFormat="1" applyFont="1" applyBorder="1"/>
    <xf numFmtId="167" fontId="12" fillId="0" borderId="76" xfId="0" applyNumberFormat="1" applyFont="1" applyBorder="1"/>
    <xf numFmtId="167" fontId="12" fillId="0" borderId="59" xfId="0" applyNumberFormat="1" applyFont="1" applyBorder="1"/>
    <xf numFmtId="167" fontId="12" fillId="0" borderId="36" xfId="0" applyNumberFormat="1" applyFont="1" applyBorder="1"/>
    <xf numFmtId="167" fontId="12" fillId="0" borderId="38" xfId="0" applyNumberFormat="1" applyFont="1" applyBorder="1"/>
    <xf numFmtId="169" fontId="12" fillId="0" borderId="154" xfId="0" applyNumberFormat="1" applyFont="1" applyBorder="1"/>
    <xf numFmtId="169" fontId="12" fillId="0" borderId="7" xfId="0" applyNumberFormat="1" applyFont="1" applyBorder="1"/>
    <xf numFmtId="169" fontId="12" fillId="0" borderId="163" xfId="0" applyNumberFormat="1" applyFont="1" applyBorder="1"/>
    <xf numFmtId="167" fontId="12" fillId="0" borderId="127" xfId="0" applyNumberFormat="1" applyFont="1" applyBorder="1"/>
    <xf numFmtId="167" fontId="12" fillId="0" borderId="144" xfId="0" applyNumberFormat="1" applyFont="1" applyBorder="1"/>
    <xf numFmtId="167" fontId="12" fillId="0" borderId="148" xfId="0" applyNumberFormat="1" applyFont="1" applyBorder="1"/>
    <xf numFmtId="167" fontId="12" fillId="0" borderId="39" xfId="0" applyNumberFormat="1" applyFont="1" applyBorder="1"/>
    <xf numFmtId="167" fontId="12" fillId="0" borderId="145" xfId="0" applyNumberFormat="1" applyFont="1" applyBorder="1"/>
    <xf numFmtId="167" fontId="12" fillId="0" borderId="130" xfId="0" applyNumberFormat="1" applyFont="1" applyBorder="1"/>
    <xf numFmtId="167" fontId="12" fillId="0" borderId="156" xfId="0" applyNumberFormat="1" applyFont="1" applyBorder="1"/>
    <xf numFmtId="169" fontId="12" fillId="0" borderId="127" xfId="0" applyNumberFormat="1" applyFont="1" applyBorder="1"/>
    <xf numFmtId="167" fontId="12" fillId="0" borderId="34" xfId="0" applyNumberFormat="1" applyFont="1" applyBorder="1"/>
    <xf numFmtId="167" fontId="12" fillId="0" borderId="35" xfId="0" applyNumberFormat="1" applyFont="1" applyBorder="1"/>
    <xf numFmtId="167" fontId="12" fillId="0" borderId="147" xfId="0" applyNumberFormat="1" applyFont="1" applyBorder="1"/>
    <xf numFmtId="167" fontId="13" fillId="0" borderId="158" xfId="0" applyNumberFormat="1" applyFont="1" applyBorder="1"/>
    <xf numFmtId="169" fontId="13" fillId="0" borderId="163" xfId="0" applyNumberFormat="1" applyFont="1" applyBorder="1"/>
    <xf numFmtId="169" fontId="13" fillId="0" borderId="154" xfId="0" applyNumberFormat="1" applyFont="1" applyBorder="1"/>
    <xf numFmtId="169" fontId="13" fillId="0" borderId="151" xfId="0" applyNumberFormat="1" applyFont="1" applyBorder="1"/>
    <xf numFmtId="169" fontId="13" fillId="0" borderId="127" xfId="0" applyNumberFormat="1" applyFont="1" applyBorder="1"/>
    <xf numFmtId="169" fontId="13" fillId="0" borderId="1" xfId="0" applyNumberFormat="1" applyFont="1" applyBorder="1"/>
    <xf numFmtId="169" fontId="13" fillId="0" borderId="7" xfId="0" applyNumberFormat="1" applyFont="1" applyBorder="1"/>
    <xf numFmtId="169" fontId="12" fillId="0" borderId="153" xfId="0" applyNumberFormat="1" applyFont="1" applyBorder="1"/>
    <xf numFmtId="169" fontId="13" fillId="0" borderId="164" xfId="0" applyNumberFormat="1" applyFont="1" applyBorder="1"/>
    <xf numFmtId="167" fontId="13" fillId="0" borderId="144" xfId="0" applyNumberFormat="1" applyFont="1" applyBorder="1"/>
    <xf numFmtId="167" fontId="13" fillId="0" borderId="130" xfId="0" applyNumberFormat="1" applyFont="1" applyBorder="1"/>
    <xf numFmtId="167" fontId="13" fillId="0" borderId="58" xfId="0" applyNumberFormat="1" applyFont="1" applyBorder="1"/>
    <xf numFmtId="167" fontId="13" fillId="0" borderId="72" xfId="0" applyNumberFormat="1" applyFont="1" applyBorder="1"/>
    <xf numFmtId="167" fontId="13" fillId="0" borderId="166" xfId="0" applyNumberFormat="1" applyFont="1" applyBorder="1"/>
    <xf numFmtId="167" fontId="12" fillId="0" borderId="159" xfId="0" applyNumberFormat="1" applyFont="1" applyBorder="1"/>
    <xf numFmtId="167" fontId="12" fillId="0" borderId="160" xfId="0" applyNumberFormat="1" applyFont="1" applyBorder="1"/>
    <xf numFmtId="167" fontId="13" fillId="0" borderId="152" xfId="0" applyNumberFormat="1" applyFont="1" applyBorder="1"/>
    <xf numFmtId="167" fontId="13" fillId="0" borderId="165" xfId="0" applyNumberFormat="1" applyFont="1" applyBorder="1"/>
    <xf numFmtId="0" fontId="12" fillId="0" borderId="132" xfId="0" applyFont="1" applyBorder="1"/>
    <xf numFmtId="0" fontId="12" fillId="0" borderId="124" xfId="0" applyFont="1" applyBorder="1"/>
    <xf numFmtId="167" fontId="13" fillId="0" borderId="185" xfId="0" applyNumberFormat="1" applyFont="1" applyBorder="1"/>
    <xf numFmtId="167" fontId="12" fillId="0" borderId="24" xfId="0" applyNumberFormat="1" applyFont="1" applyBorder="1"/>
    <xf numFmtId="167" fontId="12" fillId="0" borderId="64" xfId="0" applyNumberFormat="1" applyFont="1" applyBorder="1"/>
    <xf numFmtId="167" fontId="12" fillId="0" borderId="65" xfId="0" applyNumberFormat="1" applyFont="1" applyBorder="1"/>
    <xf numFmtId="167" fontId="12" fillId="0" borderId="31" xfId="0" applyNumberFormat="1" applyFont="1" applyBorder="1"/>
    <xf numFmtId="167" fontId="12" fillId="0" borderId="26" xfId="0" applyNumberFormat="1" applyFont="1" applyBorder="1"/>
    <xf numFmtId="167" fontId="13" fillId="0" borderId="59" xfId="0" applyNumberFormat="1" applyFont="1" applyBorder="1"/>
    <xf numFmtId="167" fontId="12" fillId="0" borderId="62" xfId="0" applyNumberFormat="1" applyFont="1" applyBorder="1"/>
    <xf numFmtId="167" fontId="12" fillId="0" borderId="63" xfId="0" applyNumberFormat="1" applyFont="1" applyBorder="1"/>
    <xf numFmtId="167" fontId="12" fillId="0" borderId="115" xfId="0" applyNumberFormat="1" applyFont="1" applyBorder="1"/>
    <xf numFmtId="169" fontId="13" fillId="0" borderId="139" xfId="0" applyNumberFormat="1" applyFont="1" applyBorder="1"/>
    <xf numFmtId="168" fontId="13" fillId="0" borderId="29" xfId="0" applyNumberFormat="1" applyFont="1" applyBorder="1"/>
    <xf numFmtId="168" fontId="13" fillId="0" borderId="26" xfId="0" applyNumberFormat="1" applyFont="1" applyBorder="1"/>
    <xf numFmtId="169" fontId="13" fillId="0" borderId="28" xfId="0" applyNumberFormat="1" applyFont="1" applyBorder="1"/>
    <xf numFmtId="167" fontId="13" fillId="0" borderId="46" xfId="0" applyNumberFormat="1" applyFont="1" applyBorder="1"/>
    <xf numFmtId="169" fontId="13" fillId="0" borderId="78" xfId="0" applyNumberFormat="1" applyFont="1" applyBorder="1"/>
    <xf numFmtId="169" fontId="13" fillId="0" borderId="4" xfId="0" applyNumberFormat="1" applyFont="1" applyBorder="1"/>
    <xf numFmtId="168" fontId="13" fillId="0" borderId="103" xfId="0" applyNumberFormat="1" applyFont="1" applyBorder="1"/>
    <xf numFmtId="168" fontId="13" fillId="0" borderId="104" xfId="0" applyNumberFormat="1" applyFont="1" applyBorder="1"/>
    <xf numFmtId="168" fontId="13" fillId="0" borderId="136" xfId="0" applyNumberFormat="1" applyFont="1" applyBorder="1"/>
    <xf numFmtId="168" fontId="12" fillId="0" borderId="62" xfId="0" applyNumberFormat="1" applyFont="1" applyBorder="1"/>
    <xf numFmtId="168" fontId="12" fillId="0" borderId="63" xfId="0" applyNumberFormat="1" applyFont="1" applyBorder="1"/>
    <xf numFmtId="168" fontId="12" fillId="0" borderId="58" xfId="0" applyNumberFormat="1" applyFont="1" applyBorder="1"/>
    <xf numFmtId="168" fontId="12" fillId="0" borderId="115" xfId="0" applyNumberFormat="1" applyFont="1" applyBorder="1"/>
    <xf numFmtId="167" fontId="12" fillId="0" borderId="173" xfId="0" applyNumberFormat="1" applyFont="1" applyBorder="1"/>
    <xf numFmtId="169" fontId="12" fillId="0" borderId="151" xfId="0" applyNumberFormat="1" applyFont="1" applyBorder="1"/>
    <xf numFmtId="167" fontId="13" fillId="0" borderId="154" xfId="0" applyNumberFormat="1" applyFont="1" applyBorder="1" applyAlignment="1">
      <alignment wrapText="1"/>
    </xf>
    <xf numFmtId="167" fontId="12" fillId="0" borderId="163" xfId="0" applyNumberFormat="1" applyFont="1" applyBorder="1" applyAlignment="1">
      <alignment vertical="top" wrapText="1"/>
    </xf>
    <xf numFmtId="167" fontId="12" fillId="0" borderId="153" xfId="0" applyNumberFormat="1" applyFont="1" applyBorder="1" applyAlignment="1">
      <alignment vertical="top" wrapText="1"/>
    </xf>
    <xf numFmtId="167" fontId="12" fillId="0" borderId="154" xfId="0" applyNumberFormat="1" applyFont="1" applyBorder="1" applyAlignment="1">
      <alignment vertical="top" wrapText="1"/>
    </xf>
    <xf numFmtId="168" fontId="12" fillId="0" borderId="153" xfId="0" applyNumberFormat="1" applyFont="1" applyBorder="1" applyAlignment="1">
      <alignment vertical="top" wrapText="1"/>
    </xf>
    <xf numFmtId="168" fontId="12" fillId="0" borderId="154" xfId="0" applyNumberFormat="1" applyFont="1" applyBorder="1" applyAlignment="1">
      <alignment vertical="top" wrapText="1"/>
    </xf>
    <xf numFmtId="168" fontId="12" fillId="0" borderId="151" xfId="0" applyNumberFormat="1" applyFont="1" applyBorder="1" applyAlignment="1">
      <alignment vertical="top" wrapText="1"/>
    </xf>
    <xf numFmtId="168" fontId="12" fillId="0" borderId="163" xfId="0" applyNumberFormat="1" applyFont="1" applyBorder="1" applyAlignment="1">
      <alignment vertical="top" wrapText="1"/>
    </xf>
    <xf numFmtId="167" fontId="13" fillId="0" borderId="181" xfId="0" applyNumberFormat="1" applyFont="1" applyBorder="1"/>
    <xf numFmtId="168" fontId="12" fillId="0" borderId="180" xfId="0" applyNumberFormat="1" applyFont="1" applyBorder="1"/>
    <xf numFmtId="168" fontId="12" fillId="0" borderId="181" xfId="0" applyNumberFormat="1" applyFont="1" applyBorder="1"/>
    <xf numFmtId="168" fontId="12" fillId="0" borderId="182" xfId="0" applyNumberFormat="1" applyFont="1" applyBorder="1"/>
    <xf numFmtId="168" fontId="12" fillId="0" borderId="137" xfId="0" applyNumberFormat="1" applyFont="1" applyBorder="1"/>
    <xf numFmtId="167" fontId="12" fillId="0" borderId="38" xfId="0" applyNumberFormat="1" applyFont="1" applyBorder="1" applyAlignment="1">
      <alignment vertical="top"/>
    </xf>
    <xf numFmtId="167" fontId="12" fillId="0" borderId="35" xfId="0" applyNumberFormat="1" applyFont="1" applyBorder="1" applyAlignment="1">
      <alignment vertical="top"/>
    </xf>
    <xf numFmtId="167" fontId="12" fillId="0" borderId="36" xfId="0" applyNumberFormat="1" applyFont="1" applyBorder="1" applyAlignment="1">
      <alignment vertical="top"/>
    </xf>
    <xf numFmtId="167" fontId="12" fillId="0" borderId="127" xfId="0" applyNumberFormat="1" applyFont="1" applyBorder="1" applyAlignment="1">
      <alignment vertical="top"/>
    </xf>
    <xf numFmtId="167" fontId="12" fillId="0" borderId="72" xfId="0" applyNumberFormat="1" applyFont="1" applyBorder="1" applyAlignment="1">
      <alignment vertical="top"/>
    </xf>
    <xf numFmtId="167" fontId="12" fillId="0" borderId="166" xfId="0" applyNumberFormat="1" applyFont="1" applyBorder="1" applyAlignment="1">
      <alignment vertical="top"/>
    </xf>
    <xf numFmtId="168" fontId="12" fillId="0" borderId="124" xfId="0" applyNumberFormat="1" applyFont="1" applyBorder="1" applyAlignment="1">
      <alignment vertical="top"/>
    </xf>
    <xf numFmtId="168" fontId="12" fillId="0" borderId="127" xfId="0" applyNumberFormat="1" applyFont="1" applyBorder="1" applyAlignment="1">
      <alignment vertical="top"/>
    </xf>
    <xf numFmtId="168" fontId="12" fillId="0" borderId="164" xfId="0" applyNumberFormat="1" applyFont="1" applyBorder="1" applyAlignment="1">
      <alignment vertical="top"/>
    </xf>
    <xf numFmtId="168" fontId="12" fillId="0" borderId="130" xfId="0" applyNumberFormat="1" applyFont="1" applyBorder="1" applyAlignment="1">
      <alignment vertical="top"/>
    </xf>
    <xf numFmtId="167" fontId="12" fillId="0" borderId="124" xfId="0" applyNumberFormat="1" applyFont="1" applyBorder="1" applyAlignment="1">
      <alignment vertical="top"/>
    </xf>
    <xf numFmtId="167" fontId="13" fillId="0" borderId="166" xfId="0" applyNumberFormat="1" applyFont="1" applyBorder="1" applyAlignment="1">
      <alignment wrapText="1"/>
    </xf>
    <xf numFmtId="167" fontId="13" fillId="0" borderId="157" xfId="4" applyNumberFormat="1" applyFont="1" applyBorder="1"/>
    <xf numFmtId="167" fontId="13" fillId="0" borderId="158" xfId="4" applyNumberFormat="1" applyFont="1" applyBorder="1"/>
    <xf numFmtId="167" fontId="13" fillId="0" borderId="146" xfId="0" applyNumberFormat="1" applyFont="1" applyBorder="1"/>
    <xf numFmtId="167" fontId="13" fillId="0" borderId="140" xfId="0" applyNumberFormat="1" applyFont="1" applyBorder="1"/>
    <xf numFmtId="167" fontId="12" fillId="0" borderId="134" xfId="0" applyNumberFormat="1" applyFont="1" applyBorder="1"/>
    <xf numFmtId="169" fontId="13" fillId="0" borderId="189" xfId="0" applyNumberFormat="1" applyFont="1" applyBorder="1"/>
    <xf numFmtId="169" fontId="13" fillId="0" borderId="130" xfId="0" applyNumberFormat="1" applyFont="1" applyBorder="1"/>
    <xf numFmtId="168" fontId="13" fillId="0" borderId="71" xfId="0" applyNumberFormat="1" applyFont="1" applyBorder="1"/>
    <xf numFmtId="169" fontId="13" fillId="0" borderId="57" xfId="0" applyNumberFormat="1" applyFont="1" applyBorder="1"/>
    <xf numFmtId="168" fontId="12" fillId="0" borderId="71" xfId="0" applyNumberFormat="1" applyFont="1" applyBorder="1"/>
    <xf numFmtId="169" fontId="13" fillId="0" borderId="70" xfId="0" applyNumberFormat="1" applyFont="1" applyBorder="1"/>
    <xf numFmtId="168" fontId="12" fillId="0" borderId="26" xfId="0" applyNumberFormat="1" applyFont="1" applyBorder="1"/>
    <xf numFmtId="168" fontId="12" fillId="0" borderId="70" xfId="0" applyNumberFormat="1" applyFont="1" applyBorder="1"/>
    <xf numFmtId="168" fontId="12" fillId="0" borderId="28" xfId="0" applyNumberFormat="1" applyFont="1" applyBorder="1"/>
    <xf numFmtId="0" fontId="12" fillId="0" borderId="31" xfId="0" applyFont="1" applyBorder="1"/>
    <xf numFmtId="0" fontId="12" fillId="0" borderId="26" xfId="0" applyFont="1" applyBorder="1"/>
    <xf numFmtId="168" fontId="13" fillId="0" borderId="38" xfId="0" applyNumberFormat="1" applyFont="1" applyBorder="1"/>
    <xf numFmtId="169" fontId="13" fillId="0" borderId="34" xfId="0" applyNumberFormat="1" applyFont="1" applyBorder="1"/>
    <xf numFmtId="169" fontId="13" fillId="0" borderId="36" xfId="0" applyNumberFormat="1" applyFont="1" applyBorder="1"/>
    <xf numFmtId="168" fontId="13" fillId="0" borderId="41" xfId="0" applyNumberFormat="1" applyFont="1" applyBorder="1"/>
    <xf numFmtId="168" fontId="13" fillId="0" borderId="105" xfId="0" applyNumberFormat="1" applyFont="1" applyBorder="1"/>
    <xf numFmtId="168" fontId="13" fillId="0" borderId="106" xfId="0" applyNumberFormat="1" applyFont="1" applyBorder="1"/>
    <xf numFmtId="168" fontId="13" fillId="0" borderId="138" xfId="0" applyNumberFormat="1" applyFont="1" applyBorder="1"/>
    <xf numFmtId="167" fontId="13" fillId="0" borderId="147" xfId="0" applyNumberFormat="1" applyFont="1" applyBorder="1"/>
    <xf numFmtId="168" fontId="13" fillId="0" borderId="36" xfId="0" applyNumberFormat="1" applyFont="1" applyBorder="1"/>
    <xf numFmtId="168" fontId="13" fillId="0" borderId="158" xfId="0" applyNumberFormat="1" applyFont="1" applyBorder="1"/>
    <xf numFmtId="167" fontId="12" fillId="0" borderId="66" xfId="0" applyNumberFormat="1" applyFont="1" applyBorder="1"/>
    <xf numFmtId="167" fontId="12" fillId="0" borderId="183" xfId="0" applyNumberFormat="1" applyFont="1" applyBorder="1"/>
    <xf numFmtId="168" fontId="12" fillId="0" borderId="134" xfId="0" applyNumberFormat="1" applyFont="1" applyBorder="1"/>
    <xf numFmtId="168" fontId="13" fillId="0" borderId="163" xfId="0" applyNumberFormat="1" applyFont="1" applyBorder="1"/>
    <xf numFmtId="168" fontId="13" fillId="0" borderId="135" xfId="0" applyNumberFormat="1" applyFont="1" applyBorder="1"/>
    <xf numFmtId="168" fontId="12" fillId="0" borderId="139" xfId="0" applyNumberFormat="1" applyFont="1" applyBorder="1"/>
    <xf numFmtId="168" fontId="13" fillId="0" borderId="70" xfId="0" applyNumberFormat="1" applyFont="1" applyBorder="1"/>
    <xf numFmtId="0" fontId="12" fillId="0" borderId="32" xfId="0" applyFont="1" applyBorder="1"/>
    <xf numFmtId="168" fontId="13" fillId="0" borderId="46" xfId="0" applyNumberFormat="1" applyFont="1" applyBorder="1"/>
    <xf numFmtId="168" fontId="13" fillId="0" borderId="44" xfId="0" applyNumberFormat="1" applyFont="1" applyBorder="1"/>
    <xf numFmtId="168" fontId="13" fillId="0" borderId="191" xfId="0" applyNumberFormat="1" applyFont="1" applyBorder="1"/>
    <xf numFmtId="0" fontId="12" fillId="0" borderId="50" xfId="0" applyFont="1" applyBorder="1"/>
    <xf numFmtId="0" fontId="12" fillId="0" borderId="46" xfId="0" applyFont="1" applyBorder="1"/>
    <xf numFmtId="168" fontId="13" fillId="0" borderId="66" xfId="0" applyNumberFormat="1" applyFont="1" applyBorder="1"/>
    <xf numFmtId="168" fontId="13" fillId="0" borderId="154" xfId="0" applyNumberFormat="1" applyFont="1" applyBorder="1"/>
    <xf numFmtId="168" fontId="12" fillId="0" borderId="156" xfId="0" applyNumberFormat="1" applyFont="1" applyBorder="1"/>
    <xf numFmtId="168" fontId="12" fillId="0" borderId="158" xfId="0" applyNumberFormat="1" applyFont="1" applyBorder="1"/>
    <xf numFmtId="169" fontId="12" fillId="0" borderId="157" xfId="0" applyNumberFormat="1" applyFont="1" applyBorder="1"/>
    <xf numFmtId="168" fontId="12" fillId="0" borderId="166" xfId="0" applyNumberFormat="1" applyFont="1" applyBorder="1"/>
    <xf numFmtId="167" fontId="12" fillId="0" borderId="176" xfId="0" applyNumberFormat="1" applyFont="1" applyBorder="1"/>
    <xf numFmtId="168" fontId="12" fillId="0" borderId="66" xfId="0" applyNumberFormat="1" applyFont="1" applyBorder="1"/>
    <xf numFmtId="168" fontId="12" fillId="0" borderId="190" xfId="0" applyNumberFormat="1" applyFont="1" applyBorder="1"/>
    <xf numFmtId="168" fontId="12" fillId="0" borderId="146" xfId="0" applyNumberFormat="1" applyFont="1" applyBorder="1"/>
    <xf numFmtId="168" fontId="13" fillId="0" borderId="146" xfId="0" applyNumberFormat="1" applyFont="1" applyBorder="1"/>
    <xf numFmtId="168" fontId="13" fillId="0" borderId="153" xfId="0" applyNumberFormat="1" applyFont="1" applyBorder="1"/>
    <xf numFmtId="168" fontId="12" fillId="0" borderId="135" xfId="0" applyNumberFormat="1" applyFont="1" applyBorder="1"/>
    <xf numFmtId="168" fontId="12" fillId="0" borderId="155" xfId="0" applyNumberFormat="1" applyFont="1" applyBorder="1"/>
    <xf numFmtId="168" fontId="12" fillId="0" borderId="125" xfId="0" applyNumberFormat="1" applyFont="1" applyBorder="1"/>
    <xf numFmtId="167" fontId="12" fillId="0" borderId="141" xfId="0" applyNumberFormat="1" applyFont="1" applyBorder="1"/>
    <xf numFmtId="168" fontId="13" fillId="0" borderId="164" xfId="0" applyNumberFormat="1" applyFont="1" applyBorder="1"/>
    <xf numFmtId="168" fontId="12" fillId="0" borderId="127" xfId="0" applyNumberFormat="1" applyFont="1" applyBorder="1"/>
    <xf numFmtId="168" fontId="13" fillId="0" borderId="130" xfId="0" applyNumberFormat="1" applyFont="1" applyBorder="1"/>
    <xf numFmtId="168" fontId="12" fillId="0" borderId="21" xfId="0" applyNumberFormat="1" applyFont="1" applyBorder="1"/>
    <xf numFmtId="168" fontId="12" fillId="0" borderId="20" xfId="0" applyNumberFormat="1" applyFont="1" applyBorder="1"/>
    <xf numFmtId="168" fontId="12" fillId="0" borderId="144" xfId="0" applyNumberFormat="1" applyFont="1" applyBorder="1"/>
    <xf numFmtId="168" fontId="12" fillId="0" borderId="130" xfId="0" applyNumberFormat="1" applyFont="1" applyBorder="1"/>
    <xf numFmtId="0" fontId="12" fillId="0" borderId="20" xfId="0" applyFont="1" applyBorder="1"/>
    <xf numFmtId="0" fontId="12" fillId="0" borderId="21" xfId="0" applyFont="1" applyBorder="1"/>
    <xf numFmtId="0" fontId="12" fillId="0" borderId="7" xfId="9" applyBorder="1" applyAlignment="1">
      <alignment horizontal="right" vertical="center" wrapText="1"/>
    </xf>
    <xf numFmtId="169" fontId="13" fillId="0" borderId="144" xfId="0" applyNumberFormat="1" applyFont="1" applyBorder="1"/>
    <xf numFmtId="168" fontId="12" fillId="0" borderId="7" xfId="0" applyNumberFormat="1" applyFont="1" applyBorder="1"/>
    <xf numFmtId="167" fontId="12" fillId="0" borderId="20" xfId="0" applyNumberFormat="1" applyFont="1" applyBorder="1"/>
    <xf numFmtId="169" fontId="12" fillId="0" borderId="167" xfId="4" applyNumberFormat="1" applyBorder="1"/>
    <xf numFmtId="167" fontId="35" fillId="0" borderId="167" xfId="4" applyNumberFormat="1" applyFont="1" applyBorder="1"/>
    <xf numFmtId="0" fontId="12" fillId="0" borderId="167" xfId="4" applyBorder="1" applyAlignment="1">
      <alignment horizontal="center" vertical="center" wrapText="1"/>
    </xf>
    <xf numFmtId="169" fontId="40" fillId="0" borderId="167" xfId="1329" applyNumberFormat="1" applyFont="1" applyBorder="1" applyAlignment="1">
      <alignment horizontal="left" vertical="top"/>
    </xf>
    <xf numFmtId="169" fontId="40" fillId="0" borderId="92" xfId="19" applyNumberFormat="1" applyFont="1" applyFill="1" applyBorder="1" applyAlignment="1">
      <alignment horizontal="left" vertical="top" wrapText="1"/>
    </xf>
    <xf numFmtId="169" fontId="40" fillId="0" borderId="13" xfId="2" applyNumberFormat="1" applyFont="1" applyBorder="1" applyAlignment="1">
      <alignment horizontal="left" vertical="top"/>
    </xf>
    <xf numFmtId="0" fontId="40" fillId="0" borderId="0" xfId="2626" applyFont="1" applyAlignment="1">
      <alignment horizontal="left" vertical="top"/>
    </xf>
    <xf numFmtId="0" fontId="40" fillId="0" borderId="13" xfId="2626" applyFont="1" applyBorder="1" applyAlignment="1">
      <alignment horizontal="left" vertical="top"/>
    </xf>
    <xf numFmtId="169" fontId="40" fillId="0" borderId="167" xfId="19" applyNumberFormat="1" applyFont="1" applyFill="1" applyBorder="1" applyAlignment="1">
      <alignment horizontal="left" vertical="top" wrapText="1"/>
    </xf>
    <xf numFmtId="169" fontId="40" fillId="0" borderId="206" xfId="2" applyNumberFormat="1" applyFont="1" applyBorder="1" applyAlignment="1">
      <alignment horizontal="left" vertical="top" wrapText="1"/>
    </xf>
    <xf numFmtId="0" fontId="40" fillId="0" borderId="30" xfId="2626" applyFont="1" applyBorder="1" applyAlignment="1">
      <alignment horizontal="left" vertical="top" wrapText="1"/>
    </xf>
    <xf numFmtId="0" fontId="8" fillId="3" borderId="140" xfId="0" applyFont="1" applyFill="1" applyBorder="1" applyAlignment="1">
      <alignment horizontal="left"/>
    </xf>
    <xf numFmtId="169" fontId="40" fillId="0" borderId="206" xfId="19" applyNumberFormat="1" applyFont="1" applyFill="1" applyBorder="1" applyAlignment="1">
      <alignment horizontal="left" vertical="top" wrapText="1"/>
    </xf>
    <xf numFmtId="169" fontId="40" fillId="0" borderId="30" xfId="2626" applyNumberFormat="1" applyFont="1" applyBorder="1" applyAlignment="1">
      <alignment horizontal="left" vertical="top" wrapText="1"/>
    </xf>
    <xf numFmtId="0" fontId="13" fillId="0" borderId="167" xfId="4" applyFont="1" applyBorder="1"/>
    <xf numFmtId="169" fontId="40" fillId="0" borderId="92" xfId="4" applyNumberFormat="1" applyFont="1" applyBorder="1" applyAlignment="1">
      <alignment horizontal="left" vertical="top"/>
    </xf>
    <xf numFmtId="0" fontId="8" fillId="0" borderId="127" xfId="0" applyFont="1" applyBorder="1" applyAlignment="1">
      <alignment horizontal="center" wrapText="1"/>
    </xf>
    <xf numFmtId="0" fontId="9" fillId="0" borderId="25" xfId="0" applyFont="1" applyBorder="1" applyAlignment="1">
      <alignment horizontal="left"/>
    </xf>
    <xf numFmtId="169" fontId="40" fillId="0" borderId="13" xfId="33" applyNumberFormat="1" applyFont="1" applyFill="1" applyBorder="1" applyAlignment="1">
      <alignment horizontal="left" vertical="top" wrapText="1"/>
    </xf>
    <xf numFmtId="0" fontId="8" fillId="3" borderId="172" xfId="0" applyFont="1" applyFill="1" applyBorder="1" applyAlignment="1">
      <alignment horizontal="center"/>
    </xf>
    <xf numFmtId="0" fontId="8" fillId="3" borderId="120" xfId="0" applyFont="1" applyFill="1" applyBorder="1" applyAlignment="1">
      <alignment horizontal="left"/>
    </xf>
    <xf numFmtId="0" fontId="12" fillId="0" borderId="0" xfId="4"/>
    <xf numFmtId="0" fontId="13" fillId="0" borderId="167" xfId="4" applyFont="1" applyBorder="1" applyAlignment="1">
      <alignment vertical="center" wrapText="1"/>
    </xf>
    <xf numFmtId="2" fontId="8" fillId="0" borderId="37" xfId="0" applyNumberFormat="1" applyFont="1" applyBorder="1" applyAlignment="1">
      <alignment horizontal="center"/>
    </xf>
    <xf numFmtId="167" fontId="13" fillId="0" borderId="25" xfId="4" applyNumberFormat="1" applyFont="1" applyBorder="1"/>
    <xf numFmtId="0" fontId="12" fillId="0" borderId="211" xfId="4" applyBorder="1" applyAlignment="1">
      <alignment wrapText="1"/>
    </xf>
    <xf numFmtId="0" fontId="8" fillId="0" borderId="157" xfId="9" applyFont="1" applyBorder="1" applyAlignment="1">
      <alignment horizontal="left" wrapText="1"/>
    </xf>
    <xf numFmtId="0" fontId="13" fillId="0" borderId="25" xfId="4" applyFont="1" applyBorder="1" applyAlignment="1">
      <alignment horizontal="center"/>
    </xf>
    <xf numFmtId="0" fontId="10" fillId="0" borderId="206" xfId="2626" applyFont="1" applyBorder="1" applyAlignment="1">
      <alignment horizontal="left" vertical="top" wrapText="1"/>
    </xf>
    <xf numFmtId="0" fontId="40" fillId="0" borderId="92" xfId="2626" applyFont="1" applyBorder="1" applyAlignment="1">
      <alignment horizontal="left" vertical="top"/>
    </xf>
    <xf numFmtId="0" fontId="8" fillId="0" borderId="157" xfId="0" applyFont="1" applyBorder="1" applyAlignment="1">
      <alignment horizontal="left" wrapText="1"/>
    </xf>
    <xf numFmtId="167" fontId="38" fillId="0" borderId="0" xfId="4" applyNumberFormat="1" applyFont="1"/>
    <xf numFmtId="169" fontId="40" fillId="0" borderId="167" xfId="2" applyNumberFormat="1" applyFont="1" applyBorder="1" applyAlignment="1">
      <alignment horizontal="left" vertical="top"/>
    </xf>
    <xf numFmtId="0" fontId="30" fillId="0" borderId="92" xfId="2626" applyFont="1" applyBorder="1" applyAlignment="1">
      <alignment horizontal="center" vertical="top"/>
    </xf>
    <xf numFmtId="0" fontId="13" fillId="0" borderId="167" xfId="4" applyFont="1" applyBorder="1" applyAlignment="1">
      <alignment wrapText="1"/>
    </xf>
    <xf numFmtId="0" fontId="13" fillId="0" borderId="167" xfId="4" applyFont="1" applyBorder="1" applyAlignment="1">
      <alignment horizontal="center" vertical="center" wrapText="1"/>
    </xf>
    <xf numFmtId="167" fontId="12" fillId="0" borderId="210" xfId="4" applyNumberFormat="1" applyBorder="1"/>
    <xf numFmtId="0" fontId="13" fillId="0" borderId="167" xfId="4" applyFont="1" applyBorder="1" applyAlignment="1">
      <alignment horizontal="left"/>
    </xf>
    <xf numFmtId="0" fontId="12" fillId="0" borderId="167" xfId="4" applyBorder="1" applyAlignment="1">
      <alignment horizontal="center"/>
    </xf>
    <xf numFmtId="169" fontId="40" fillId="0" borderId="184" xfId="2" applyNumberFormat="1" applyFont="1" applyBorder="1" applyAlignment="1">
      <alignment horizontal="left" vertical="top" wrapText="1"/>
    </xf>
    <xf numFmtId="0" fontId="13" fillId="0" borderId="167" xfId="4" applyFont="1" applyBorder="1" applyAlignment="1">
      <alignment horizontal="center"/>
    </xf>
    <xf numFmtId="169" fontId="40" fillId="0" borderId="92" xfId="4" applyNumberFormat="1" applyFont="1" applyBorder="1" applyAlignment="1">
      <alignment horizontal="left" vertical="top" wrapText="1"/>
    </xf>
    <xf numFmtId="167" fontId="13" fillId="0" borderId="167" xfId="4" applyNumberFormat="1" applyFont="1" applyBorder="1"/>
    <xf numFmtId="2" fontId="8" fillId="0" borderId="184" xfId="0" applyNumberFormat="1" applyFont="1" applyBorder="1" applyAlignment="1">
      <alignment horizontal="center"/>
    </xf>
    <xf numFmtId="0" fontId="8" fillId="0" borderId="157" xfId="9" applyFont="1" applyBorder="1" applyAlignment="1">
      <alignment horizontal="left" vertical="top" wrapText="1"/>
    </xf>
    <xf numFmtId="167" fontId="39" fillId="0" borderId="0" xfId="4" applyNumberFormat="1" applyFont="1"/>
    <xf numFmtId="0" fontId="31" fillId="0" borderId="25" xfId="0" applyFont="1" applyBorder="1" applyAlignment="1">
      <alignment horizontal="left"/>
    </xf>
    <xf numFmtId="0" fontId="12" fillId="0" borderId="210" xfId="4" applyBorder="1" applyAlignment="1">
      <alignment horizontal="center" vertical="center" wrapText="1"/>
    </xf>
    <xf numFmtId="0" fontId="10" fillId="0" borderId="167" xfId="1329" applyFont="1" applyBorder="1" applyAlignment="1">
      <alignment horizontal="left" vertical="top" wrapText="1"/>
    </xf>
    <xf numFmtId="0" fontId="40" fillId="0" borderId="207" xfId="1329" applyFont="1" applyBorder="1" applyAlignment="1">
      <alignment horizontal="left" vertical="top" wrapText="1"/>
    </xf>
    <xf numFmtId="166" fontId="8" fillId="0" borderId="158" xfId="0" applyNumberFormat="1" applyFont="1" applyBorder="1" applyAlignment="1">
      <alignment horizontal="center"/>
    </xf>
    <xf numFmtId="0" fontId="13" fillId="0" borderId="211" xfId="4" applyFont="1" applyBorder="1" applyAlignment="1">
      <alignment wrapText="1"/>
    </xf>
    <xf numFmtId="0" fontId="12" fillId="0" borderId="0" xfId="4" applyAlignment="1">
      <alignment wrapText="1"/>
    </xf>
    <xf numFmtId="0" fontId="27" fillId="0" borderId="118" xfId="0" applyFont="1" applyBorder="1" applyAlignment="1">
      <alignment horizontal="left"/>
    </xf>
    <xf numFmtId="169" fontId="40" fillId="0" borderId="92" xfId="2626" applyNumberFormat="1" applyFont="1" applyBorder="1" applyAlignment="1">
      <alignment horizontal="left" vertical="top" wrapText="1"/>
    </xf>
    <xf numFmtId="0" fontId="12" fillId="0" borderId="167" xfId="4" applyBorder="1"/>
    <xf numFmtId="168" fontId="40" fillId="0" borderId="92" xfId="2626" applyNumberFormat="1" applyFont="1" applyBorder="1" applyAlignment="1">
      <alignment horizontal="left" vertical="top"/>
    </xf>
    <xf numFmtId="4" fontId="40" fillId="0" borderId="92" xfId="2626" applyNumberFormat="1" applyFont="1" applyBorder="1" applyAlignment="1">
      <alignment horizontal="left" vertical="top" wrapText="1"/>
    </xf>
    <xf numFmtId="2" fontId="8" fillId="0" borderId="193" xfId="0" applyNumberFormat="1" applyFont="1" applyBorder="1" applyAlignment="1">
      <alignment horizontal="center"/>
    </xf>
    <xf numFmtId="0" fontId="24" fillId="0" borderId="27" xfId="2626" applyFont="1" applyBorder="1" applyAlignment="1">
      <alignment horizontal="left" vertical="top"/>
    </xf>
    <xf numFmtId="0" fontId="8" fillId="0" borderId="120" xfId="0" applyFont="1" applyBorder="1" applyAlignment="1">
      <alignment horizontal="left" wrapText="1"/>
    </xf>
    <xf numFmtId="0" fontId="40" fillId="0" borderId="207" xfId="2626" applyFont="1" applyBorder="1" applyAlignment="1">
      <alignment horizontal="left" vertical="top"/>
    </xf>
    <xf numFmtId="168" fontId="8" fillId="0" borderId="124" xfId="0" applyNumberFormat="1" applyFont="1" applyBorder="1" applyAlignment="1">
      <alignment horizontal="center"/>
    </xf>
    <xf numFmtId="169" fontId="40" fillId="0" borderId="30" xfId="19" applyNumberFormat="1" applyFont="1" applyFill="1" applyBorder="1" applyAlignment="1">
      <alignment horizontal="left" vertical="top" wrapText="1"/>
    </xf>
    <xf numFmtId="0" fontId="8" fillId="0" borderId="168" xfId="0" applyFont="1" applyBorder="1" applyAlignment="1">
      <alignment horizontal="center"/>
    </xf>
    <xf numFmtId="0" fontId="40" fillId="0" borderId="92" xfId="2" applyFont="1" applyBorder="1" applyAlignment="1">
      <alignment horizontal="left" vertical="top" wrapText="1"/>
    </xf>
    <xf numFmtId="0" fontId="40" fillId="0" borderId="167" xfId="2626" applyFont="1" applyBorder="1" applyAlignment="1">
      <alignment horizontal="left" vertical="top"/>
    </xf>
    <xf numFmtId="169" fontId="40" fillId="0" borderId="206" xfId="2" applyNumberFormat="1" applyFont="1" applyBorder="1" applyAlignment="1">
      <alignment horizontal="left" vertical="top"/>
    </xf>
    <xf numFmtId="0" fontId="8" fillId="0" borderId="25" xfId="0" applyFont="1" applyBorder="1" applyAlignment="1">
      <alignment horizontal="left"/>
    </xf>
    <xf numFmtId="0" fontId="40" fillId="0" borderId="0" xfId="1329" applyFont="1" applyAlignment="1">
      <alignment horizontal="left"/>
    </xf>
    <xf numFmtId="0" fontId="12" fillId="0" borderId="167" xfId="4" applyBorder="1" applyAlignment="1">
      <alignment horizontal="left" vertical="top" wrapText="1"/>
    </xf>
    <xf numFmtId="0" fontId="8" fillId="0" borderId="0" xfId="0" applyFont="1" applyAlignment="1">
      <alignment horizontal="center"/>
    </xf>
    <xf numFmtId="0" fontId="8" fillId="0" borderId="169" xfId="0" applyFont="1" applyBorder="1" applyAlignment="1">
      <alignment horizontal="left"/>
    </xf>
    <xf numFmtId="0" fontId="13" fillId="0" borderId="25" xfId="4" applyFont="1" applyBorder="1" applyAlignment="1">
      <alignment horizontal="center" vertical="center" wrapText="1"/>
    </xf>
    <xf numFmtId="0" fontId="30" fillId="0" borderId="92" xfId="2626" applyFont="1" applyBorder="1" applyAlignment="1">
      <alignment horizontal="center" vertical="top" wrapText="1"/>
    </xf>
    <xf numFmtId="169" fontId="40" fillId="0" borderId="13" xfId="19" applyNumberFormat="1" applyFont="1" applyFill="1" applyBorder="1" applyAlignment="1">
      <alignment horizontal="left" vertical="top" wrapText="1"/>
    </xf>
    <xf numFmtId="169" fontId="40" fillId="0" borderId="0" xfId="2" applyNumberFormat="1" applyFont="1" applyAlignment="1">
      <alignment horizontal="left" vertical="top" wrapText="1"/>
    </xf>
    <xf numFmtId="169" fontId="40" fillId="0" borderId="92" xfId="2626" applyNumberFormat="1" applyFont="1" applyBorder="1" applyAlignment="1">
      <alignment horizontal="left" vertical="top"/>
    </xf>
    <xf numFmtId="169" fontId="40" fillId="0" borderId="167" xfId="33" applyNumberFormat="1" applyFont="1" applyFill="1" applyBorder="1" applyAlignment="1">
      <alignment horizontal="left" vertical="top" wrapText="1"/>
    </xf>
    <xf numFmtId="0" fontId="8" fillId="3" borderId="120" xfId="0" applyFont="1" applyFill="1" applyBorder="1" applyAlignment="1">
      <alignment horizontal="left" wrapText="1"/>
    </xf>
    <xf numFmtId="169" fontId="40" fillId="0" borderId="167" xfId="2626" applyNumberFormat="1" applyFont="1" applyBorder="1" applyAlignment="1">
      <alignment horizontal="left" vertical="top" wrapText="1"/>
    </xf>
    <xf numFmtId="0" fontId="40" fillId="0" borderId="83" xfId="2626" applyFont="1" applyBorder="1" applyAlignment="1">
      <alignment horizontal="left" vertical="top"/>
    </xf>
    <xf numFmtId="0" fontId="8" fillId="0" borderId="118" xfId="0" applyFont="1" applyBorder="1" applyAlignment="1">
      <alignment horizontal="left"/>
    </xf>
    <xf numFmtId="0" fontId="8" fillId="0" borderId="127" xfId="9" applyFont="1" applyBorder="1" applyAlignment="1">
      <alignment horizontal="center" vertical="top" wrapText="1"/>
    </xf>
    <xf numFmtId="0" fontId="8" fillId="0" borderId="77" xfId="9" applyFont="1" applyBorder="1" applyAlignment="1">
      <alignment horizontal="left" vertical="top" wrapText="1"/>
    </xf>
    <xf numFmtId="0" fontId="40" fillId="0" borderId="30" xfId="2626" applyFont="1" applyBorder="1" applyAlignment="1">
      <alignment horizontal="left" vertical="top"/>
    </xf>
    <xf numFmtId="169" fontId="40" fillId="0" borderId="206" xfId="2626" applyNumberFormat="1" applyFont="1" applyBorder="1" applyAlignment="1">
      <alignment horizontal="left" vertical="top"/>
    </xf>
    <xf numFmtId="0" fontId="8" fillId="0" borderId="164" xfId="4" applyFont="1" applyBorder="1" applyAlignment="1">
      <alignment wrapText="1"/>
    </xf>
    <xf numFmtId="167" fontId="12" fillId="0" borderId="167" xfId="4" applyNumberFormat="1" applyBorder="1"/>
    <xf numFmtId="0" fontId="29" fillId="0" borderId="0" xfId="1329" applyFont="1" applyAlignment="1">
      <alignment horizontal="left"/>
    </xf>
    <xf numFmtId="0" fontId="12" fillId="0" borderId="37" xfId="4" applyBorder="1" applyAlignment="1">
      <alignment wrapText="1"/>
    </xf>
    <xf numFmtId="0" fontId="13" fillId="0" borderId="37" xfId="4" applyFont="1" applyBorder="1" applyAlignment="1">
      <alignment wrapText="1"/>
    </xf>
    <xf numFmtId="0" fontId="40" fillId="0" borderId="167" xfId="1329" applyFont="1" applyBorder="1" applyAlignment="1">
      <alignment horizontal="left" vertical="top" wrapText="1"/>
    </xf>
    <xf numFmtId="2" fontId="9" fillId="0" borderId="26" xfId="0" applyNumberFormat="1" applyFont="1" applyBorder="1" applyAlignment="1">
      <alignment horizontal="left"/>
    </xf>
    <xf numFmtId="167" fontId="8" fillId="0" borderId="167" xfId="0" applyNumberFormat="1" applyFont="1" applyBorder="1" applyAlignment="1">
      <alignment horizontal="center"/>
    </xf>
    <xf numFmtId="169" fontId="40" fillId="0" borderId="13" xfId="2626" applyNumberFormat="1" applyFont="1" applyBorder="1" applyAlignment="1">
      <alignment horizontal="left" vertical="top" wrapText="1"/>
    </xf>
    <xf numFmtId="0" fontId="13" fillId="0" borderId="211" xfId="4" applyFont="1" applyBorder="1" applyAlignment="1">
      <alignment horizontal="center" vertical="center" wrapText="1"/>
    </xf>
    <xf numFmtId="169" fontId="13" fillId="0" borderId="167" xfId="4" applyNumberFormat="1" applyFont="1" applyBorder="1"/>
    <xf numFmtId="0" fontId="8" fillId="0" borderId="50" xfId="0" applyFont="1" applyBorder="1"/>
    <xf numFmtId="0" fontId="40" fillId="0" borderId="206" xfId="2626" applyFont="1" applyBorder="1" applyAlignment="1">
      <alignment horizontal="left" vertical="top"/>
    </xf>
    <xf numFmtId="169" fontId="40" fillId="0" borderId="30" xfId="2" applyNumberFormat="1" applyFont="1" applyBorder="1" applyAlignment="1">
      <alignment horizontal="left" vertical="top"/>
    </xf>
    <xf numFmtId="0" fontId="40" fillId="0" borderId="167" xfId="1329" applyFont="1" applyBorder="1" applyAlignment="1">
      <alignment horizontal="left" vertical="top"/>
    </xf>
    <xf numFmtId="0" fontId="40" fillId="0" borderId="207" xfId="2626" applyFont="1" applyBorder="1" applyAlignment="1">
      <alignment horizontal="left" vertical="top" wrapText="1"/>
    </xf>
    <xf numFmtId="0" fontId="40" fillId="0" borderId="13" xfId="1329" applyFont="1" applyBorder="1" applyAlignment="1">
      <alignment horizontal="left" vertical="top" wrapText="1"/>
    </xf>
    <xf numFmtId="0" fontId="40" fillId="0" borderId="209" xfId="1329" applyFont="1" applyBorder="1" applyAlignment="1">
      <alignment horizontal="left" vertical="top" wrapText="1"/>
    </xf>
    <xf numFmtId="0" fontId="13" fillId="0" borderId="23" xfId="4" applyFont="1" applyBorder="1" applyAlignment="1">
      <alignment wrapText="1"/>
    </xf>
    <xf numFmtId="0" fontId="12" fillId="0" borderId="167" xfId="4" applyBorder="1" applyAlignment="1">
      <alignment vertical="center" wrapText="1"/>
    </xf>
    <xf numFmtId="0" fontId="40" fillId="0" borderId="184" xfId="1329" applyFont="1" applyBorder="1" applyAlignment="1">
      <alignment horizontal="left" vertical="top" wrapText="1"/>
    </xf>
    <xf numFmtId="0" fontId="12" fillId="0" borderId="167" xfId="4" applyBorder="1" applyAlignment="1">
      <alignment horizontal="left"/>
    </xf>
    <xf numFmtId="0" fontId="8" fillId="0" borderId="20" xfId="0" applyFont="1" applyBorder="1" applyAlignment="1">
      <alignment wrapText="1"/>
    </xf>
    <xf numFmtId="0" fontId="10" fillId="0" borderId="0" xfId="1329" applyFont="1" applyAlignment="1">
      <alignment horizontal="left" vertical="top" wrapText="1"/>
    </xf>
    <xf numFmtId="0" fontId="13" fillId="0" borderId="120" xfId="4" applyFont="1" applyBorder="1"/>
    <xf numFmtId="168" fontId="24" fillId="0" borderId="27" xfId="2626" applyNumberFormat="1" applyFont="1" applyBorder="1"/>
    <xf numFmtId="0" fontId="10" fillId="0" borderId="92" xfId="2626" applyFont="1" applyBorder="1" applyAlignment="1">
      <alignment horizontal="left" vertical="top" wrapText="1"/>
    </xf>
    <xf numFmtId="169" fontId="40" fillId="0" borderId="167" xfId="2626" applyNumberFormat="1" applyFont="1" applyBorder="1" applyAlignment="1">
      <alignment horizontal="left" vertical="top"/>
    </xf>
    <xf numFmtId="0" fontId="40" fillId="0" borderId="0" xfId="1329" applyFont="1" applyAlignment="1">
      <alignment horizontal="left" vertical="top"/>
    </xf>
    <xf numFmtId="0" fontId="13" fillId="0" borderId="167" xfId="4" applyFont="1" applyBorder="1" applyAlignment="1">
      <alignment horizontal="left" vertical="top" wrapText="1"/>
    </xf>
    <xf numFmtId="167" fontId="13" fillId="0" borderId="211" xfId="4" applyNumberFormat="1" applyFont="1" applyBorder="1"/>
    <xf numFmtId="0" fontId="40" fillId="0" borderId="92" xfId="4" applyFont="1" applyBorder="1" applyAlignment="1">
      <alignment horizontal="left" vertical="top" wrapText="1"/>
    </xf>
    <xf numFmtId="169" fontId="40" fillId="0" borderId="184" xfId="2" applyNumberFormat="1" applyFont="1" applyBorder="1" applyAlignment="1">
      <alignment horizontal="left" vertical="top"/>
    </xf>
    <xf numFmtId="0" fontId="13" fillId="0" borderId="25" xfId="4" applyFont="1" applyBorder="1"/>
    <xf numFmtId="0" fontId="10" fillId="0" borderId="13" xfId="2626" applyFont="1" applyBorder="1" applyAlignment="1">
      <alignment horizontal="left" vertical="top" wrapText="1"/>
    </xf>
    <xf numFmtId="0" fontId="13" fillId="0" borderId="25" xfId="4" applyFont="1" applyBorder="1" applyAlignment="1">
      <alignment horizontal="left" vertical="top" wrapText="1"/>
    </xf>
    <xf numFmtId="0" fontId="8" fillId="0" borderId="127" xfId="9" applyFont="1" applyBorder="1" applyAlignment="1">
      <alignment horizontal="center"/>
    </xf>
    <xf numFmtId="0" fontId="8" fillId="3" borderId="0" xfId="0" applyFont="1" applyFill="1" applyAlignment="1">
      <alignment horizontal="center"/>
    </xf>
    <xf numFmtId="0" fontId="13" fillId="0" borderId="167" xfId="4" applyFont="1" applyBorder="1" applyAlignment="1">
      <alignment horizontal="center" vertical="top" wrapText="1"/>
    </xf>
    <xf numFmtId="0" fontId="40" fillId="0" borderId="167" xfId="2626" applyFont="1" applyBorder="1" applyAlignment="1">
      <alignment horizontal="left" vertical="top" wrapText="1"/>
    </xf>
    <xf numFmtId="0" fontId="8" fillId="0" borderId="34" xfId="9" applyFont="1" applyBorder="1" applyAlignment="1">
      <alignment horizontal="center"/>
    </xf>
    <xf numFmtId="0" fontId="8" fillId="0" borderId="120" xfId="9" applyFont="1" applyBorder="1" applyAlignment="1">
      <alignment horizontal="left" vertical="top" wrapText="1"/>
    </xf>
    <xf numFmtId="0" fontId="10" fillId="0" borderId="167" xfId="2626" applyFont="1" applyBorder="1" applyAlignment="1">
      <alignment horizontal="left" vertical="top" wrapText="1"/>
    </xf>
    <xf numFmtId="0" fontId="13" fillId="0" borderId="157" xfId="4" applyFont="1" applyBorder="1"/>
    <xf numFmtId="0" fontId="8" fillId="0" borderId="197" xfId="9" applyFont="1" applyBorder="1" applyAlignment="1">
      <alignment horizontal="center" vertical="top" wrapText="1"/>
    </xf>
    <xf numFmtId="0" fontId="13" fillId="0" borderId="157" xfId="4" applyFont="1" applyBorder="1" applyAlignment="1">
      <alignment wrapText="1"/>
    </xf>
    <xf numFmtId="0" fontId="12" fillId="0" borderId="167" xfId="4" applyBorder="1" applyAlignment="1">
      <alignment wrapText="1"/>
    </xf>
    <xf numFmtId="169" fontId="40" fillId="0" borderId="92" xfId="2" applyNumberFormat="1" applyFont="1" applyBorder="1" applyAlignment="1">
      <alignment horizontal="left" vertical="top"/>
    </xf>
    <xf numFmtId="0" fontId="40" fillId="0" borderId="184" xfId="2626" applyFont="1" applyBorder="1" applyAlignment="1">
      <alignment horizontal="left" vertical="top"/>
    </xf>
    <xf numFmtId="0" fontId="13" fillId="0" borderId="127" xfId="4" applyFont="1" applyBorder="1" applyAlignment="1">
      <alignment horizontal="center" vertical="center" wrapText="1"/>
    </xf>
    <xf numFmtId="0" fontId="40" fillId="0" borderId="37" xfId="2626" applyFont="1" applyBorder="1" applyAlignment="1">
      <alignment horizontal="left" vertical="top"/>
    </xf>
    <xf numFmtId="0" fontId="8" fillId="0" borderId="157" xfId="0" applyFont="1" applyBorder="1" applyAlignment="1">
      <alignment wrapText="1"/>
    </xf>
    <xf numFmtId="0" fontId="40" fillId="0" borderId="208" xfId="1329" applyFont="1" applyBorder="1" applyAlignment="1">
      <alignment horizontal="left" vertical="top"/>
    </xf>
    <xf numFmtId="0" fontId="8" fillId="0" borderId="0" xfId="0" applyFont="1" applyAlignment="1">
      <alignment wrapText="1"/>
    </xf>
    <xf numFmtId="169" fontId="40" fillId="0" borderId="167" xfId="2" applyNumberFormat="1" applyFont="1" applyBorder="1" applyAlignment="1">
      <alignment horizontal="left" vertical="top" wrapText="1"/>
    </xf>
    <xf numFmtId="167" fontId="12" fillId="0" borderId="37" xfId="4" applyNumberFormat="1" applyBorder="1"/>
    <xf numFmtId="0" fontId="28" fillId="0" borderId="167" xfId="0" applyFont="1" applyBorder="1" applyAlignment="1">
      <alignment vertical="center" wrapText="1"/>
    </xf>
    <xf numFmtId="0" fontId="12" fillId="0" borderId="167" xfId="4" applyBorder="1" applyAlignment="1">
      <alignment horizontal="center" vertical="top" wrapText="1"/>
    </xf>
    <xf numFmtId="16" fontId="40" fillId="0" borderId="0" xfId="1329" applyNumberFormat="1" applyFont="1" applyAlignment="1">
      <alignment horizontal="left"/>
    </xf>
    <xf numFmtId="169" fontId="13" fillId="0" borderId="25" xfId="4" applyNumberFormat="1" applyFont="1" applyBorder="1"/>
    <xf numFmtId="0" fontId="13" fillId="0" borderId="211" xfId="4" applyFont="1" applyBorder="1" applyAlignment="1">
      <alignment horizontal="center"/>
    </xf>
    <xf numFmtId="0" fontId="13" fillId="0" borderId="210" xfId="4" applyFont="1" applyBorder="1" applyAlignment="1">
      <alignment horizontal="left" vertical="top" wrapText="1"/>
    </xf>
    <xf numFmtId="49" fontId="40" fillId="0" borderId="92" xfId="2626" applyNumberFormat="1" applyFont="1" applyBorder="1" applyAlignment="1">
      <alignment horizontal="left" vertical="top"/>
    </xf>
    <xf numFmtId="0" fontId="40" fillId="0" borderId="206" xfId="2626" applyFont="1" applyBorder="1" applyAlignment="1">
      <alignment horizontal="left" vertical="top" wrapText="1"/>
    </xf>
    <xf numFmtId="2" fontId="8" fillId="0" borderId="21" xfId="0" applyNumberFormat="1" applyFont="1" applyBorder="1" applyAlignment="1">
      <alignment horizontal="center"/>
    </xf>
    <xf numFmtId="0" fontId="40" fillId="0" borderId="206" xfId="2" applyFont="1" applyBorder="1" applyAlignment="1">
      <alignment horizontal="left" vertical="top" wrapText="1"/>
    </xf>
    <xf numFmtId="168" fontId="24" fillId="0" borderId="24" xfId="2626" applyNumberFormat="1" applyFont="1" applyBorder="1"/>
    <xf numFmtId="0" fontId="40" fillId="0" borderId="13" xfId="2626" applyFont="1" applyBorder="1" applyAlignment="1">
      <alignment horizontal="left" vertical="top" wrapText="1"/>
    </xf>
    <xf numFmtId="169" fontId="40" fillId="0" borderId="206" xfId="2626" applyNumberFormat="1" applyFont="1" applyBorder="1" applyAlignment="1">
      <alignment horizontal="left" vertical="top" wrapText="1"/>
    </xf>
    <xf numFmtId="169" fontId="40" fillId="0" borderId="92" xfId="2" applyNumberFormat="1" applyFont="1" applyBorder="1" applyAlignment="1">
      <alignment horizontal="left" vertical="top" wrapText="1"/>
    </xf>
    <xf numFmtId="169" fontId="40" fillId="0" borderId="13" xfId="32" applyNumberFormat="1" applyFont="1" applyFill="1" applyBorder="1" applyAlignment="1">
      <alignment horizontal="left" vertical="top" wrapText="1"/>
    </xf>
    <xf numFmtId="167" fontId="13" fillId="0" borderId="26" xfId="4" applyNumberFormat="1" applyFont="1" applyBorder="1"/>
    <xf numFmtId="169" fontId="40" fillId="0" borderId="13" xfId="2" applyNumberFormat="1" applyFont="1" applyBorder="1" applyAlignment="1">
      <alignment horizontal="left" vertical="top" wrapText="1"/>
    </xf>
    <xf numFmtId="169" fontId="40" fillId="0" borderId="84" xfId="2626" applyNumberFormat="1" applyFont="1" applyBorder="1" applyAlignment="1">
      <alignment horizontal="left" vertical="top" wrapText="1"/>
    </xf>
    <xf numFmtId="0" fontId="40" fillId="0" borderId="84" xfId="2626" applyFont="1" applyBorder="1" applyAlignment="1">
      <alignment horizontal="left" vertical="top" wrapText="1"/>
    </xf>
    <xf numFmtId="0" fontId="13" fillId="0" borderId="25" xfId="4" applyFont="1" applyBorder="1" applyAlignment="1">
      <alignment vertical="center" wrapText="1"/>
    </xf>
    <xf numFmtId="0" fontId="13" fillId="0" borderId="211" xfId="4" applyFont="1" applyBorder="1" applyAlignment="1">
      <alignment horizontal="left" vertical="top" wrapText="1"/>
    </xf>
    <xf numFmtId="0" fontId="8" fillId="0" borderId="157" xfId="9" applyFont="1" applyBorder="1" applyAlignment="1">
      <alignment horizontal="left"/>
    </xf>
    <xf numFmtId="0" fontId="40" fillId="0" borderId="92" xfId="2626" applyFont="1" applyBorder="1" applyAlignment="1">
      <alignment horizontal="left" vertical="top" wrapText="1"/>
    </xf>
    <xf numFmtId="167" fontId="16" fillId="0" borderId="167" xfId="4" applyNumberFormat="1" applyFont="1" applyBorder="1"/>
    <xf numFmtId="2" fontId="8" fillId="0" borderId="38" xfId="0" applyNumberFormat="1" applyFont="1" applyBorder="1" applyAlignment="1">
      <alignment horizontal="center"/>
    </xf>
    <xf numFmtId="168" fontId="13" fillId="0" borderId="167" xfId="4" applyNumberFormat="1" applyFont="1" applyBorder="1"/>
    <xf numFmtId="168" fontId="40" fillId="0" borderId="92" xfId="2" applyNumberFormat="1" applyFont="1" applyBorder="1" applyAlignment="1">
      <alignment horizontal="left" vertical="top" wrapText="1"/>
    </xf>
    <xf numFmtId="0" fontId="8" fillId="0" borderId="20" xfId="0" applyFont="1" applyBorder="1" applyAlignment="1">
      <alignment horizontal="left"/>
    </xf>
    <xf numFmtId="169" fontId="40" fillId="0" borderId="83" xfId="2626" applyNumberFormat="1" applyFont="1" applyBorder="1" applyAlignment="1">
      <alignment horizontal="left" vertical="top"/>
    </xf>
    <xf numFmtId="167" fontId="36" fillId="0" borderId="167" xfId="4" applyNumberFormat="1" applyFont="1" applyBorder="1"/>
    <xf numFmtId="0" fontId="8" fillId="0" borderId="195" xfId="0" applyFont="1" applyBorder="1"/>
    <xf numFmtId="169" fontId="40" fillId="0" borderId="37" xfId="2" applyNumberFormat="1" applyFont="1" applyBorder="1" applyAlignment="1">
      <alignment horizontal="left" vertical="top" wrapText="1"/>
    </xf>
    <xf numFmtId="0" fontId="8" fillId="0" borderId="23" xfId="0" applyFont="1" applyBorder="1" applyAlignment="1">
      <alignment horizontal="left"/>
    </xf>
    <xf numFmtId="0" fontId="10" fillId="0" borderId="202" xfId="2626" applyFont="1" applyBorder="1" applyAlignment="1">
      <alignment horizontal="left" vertical="top" wrapText="1"/>
    </xf>
    <xf numFmtId="169" fontId="40" fillId="0" borderId="37" xfId="2" applyNumberFormat="1" applyFont="1" applyBorder="1" applyAlignment="1">
      <alignment horizontal="left" vertical="top"/>
    </xf>
    <xf numFmtId="0" fontId="8" fillId="0" borderId="48" xfId="0" applyFont="1" applyBorder="1" applyAlignment="1">
      <alignment horizontal="center"/>
    </xf>
    <xf numFmtId="0" fontId="8" fillId="0" borderId="168" xfId="0" applyFont="1" applyBorder="1"/>
    <xf numFmtId="0" fontId="8" fillId="0" borderId="127" xfId="9" applyFont="1" applyBorder="1" applyAlignment="1">
      <alignment horizontal="center" wrapText="1"/>
    </xf>
    <xf numFmtId="169" fontId="40" fillId="0" borderId="30" xfId="2" applyNumberFormat="1" applyFont="1" applyBorder="1" applyAlignment="1">
      <alignment horizontal="left" vertical="top" wrapText="1"/>
    </xf>
    <xf numFmtId="0" fontId="8" fillId="0" borderId="0" xfId="4" applyFont="1"/>
    <xf numFmtId="0" fontId="9" fillId="0" borderId="0" xfId="4" applyFont="1"/>
    <xf numFmtId="0" fontId="10" fillId="0" borderId="0" xfId="4" applyFont="1"/>
    <xf numFmtId="16" fontId="10" fillId="0" borderId="0" xfId="4" applyNumberFormat="1" applyFont="1"/>
    <xf numFmtId="169" fontId="12" fillId="0" borderId="0" xfId="4" applyNumberFormat="1"/>
    <xf numFmtId="16" fontId="8" fillId="0" borderId="0" xfId="4" applyNumberFormat="1" applyFont="1"/>
    <xf numFmtId="167" fontId="12" fillId="0" borderId="0" xfId="4" applyNumberFormat="1"/>
    <xf numFmtId="0" fontId="13" fillId="3" borderId="36" xfId="4" applyFont="1" applyFill="1" applyBorder="1"/>
    <xf numFmtId="0" fontId="13" fillId="3" borderId="37" xfId="4" applyFont="1" applyFill="1" applyBorder="1" applyAlignment="1">
      <alignment wrapText="1"/>
    </xf>
    <xf numFmtId="0" fontId="13" fillId="3" borderId="37" xfId="4" applyFont="1" applyFill="1" applyBorder="1" applyAlignment="1">
      <alignment horizontal="center" wrapText="1"/>
    </xf>
    <xf numFmtId="0" fontId="13" fillId="3" borderId="37" xfId="4" applyFont="1" applyFill="1" applyBorder="1" applyAlignment="1">
      <alignment horizontal="left"/>
    </xf>
    <xf numFmtId="167" fontId="13" fillId="3" borderId="37" xfId="4" applyNumberFormat="1" applyFont="1" applyFill="1" applyBorder="1"/>
    <xf numFmtId="0" fontId="13" fillId="3" borderId="43" xfId="4" applyFont="1" applyFill="1" applyBorder="1"/>
    <xf numFmtId="0" fontId="13" fillId="3" borderId="157" xfId="4" applyFont="1" applyFill="1" applyBorder="1"/>
    <xf numFmtId="0" fontId="13" fillId="3" borderId="167" xfId="4" applyFont="1" applyFill="1" applyBorder="1"/>
    <xf numFmtId="0" fontId="13" fillId="3" borderId="167" xfId="4" applyFont="1" applyFill="1" applyBorder="1" applyAlignment="1">
      <alignment horizontal="center"/>
    </xf>
    <xf numFmtId="0" fontId="13" fillId="3" borderId="167" xfId="4" applyFont="1" applyFill="1" applyBorder="1" applyAlignment="1">
      <alignment horizontal="left"/>
    </xf>
    <xf numFmtId="167" fontId="13" fillId="3" borderId="167" xfId="4" applyNumberFormat="1" applyFont="1" applyFill="1" applyBorder="1"/>
    <xf numFmtId="0" fontId="13" fillId="3" borderId="167" xfId="4" applyFont="1" applyFill="1" applyBorder="1" applyAlignment="1">
      <alignment wrapText="1"/>
    </xf>
    <xf numFmtId="0" fontId="13" fillId="3" borderId="167" xfId="4" applyFont="1" applyFill="1" applyBorder="1" applyAlignment="1">
      <alignment horizontal="center" wrapText="1"/>
    </xf>
    <xf numFmtId="0" fontId="13" fillId="3" borderId="167" xfId="4" applyFont="1" applyFill="1" applyBorder="1" applyAlignment="1">
      <alignment vertical="center" wrapText="1"/>
    </xf>
    <xf numFmtId="0" fontId="13" fillId="3" borderId="167" xfId="4" applyFont="1" applyFill="1" applyBorder="1" applyAlignment="1">
      <alignment horizontal="center" vertical="center" wrapText="1"/>
    </xf>
    <xf numFmtId="0" fontId="13" fillId="3" borderId="167" xfId="4" applyFont="1" applyFill="1" applyBorder="1" applyAlignment="1">
      <alignment horizontal="left" wrapText="1"/>
    </xf>
    <xf numFmtId="0" fontId="12" fillId="3" borderId="157" xfId="4" applyFill="1" applyBorder="1"/>
    <xf numFmtId="0" fontId="12" fillId="3" borderId="167" xfId="4" applyFill="1" applyBorder="1"/>
    <xf numFmtId="0" fontId="12" fillId="3" borderId="167" xfId="4" applyFill="1" applyBorder="1" applyAlignment="1">
      <alignment horizontal="center"/>
    </xf>
    <xf numFmtId="0" fontId="12" fillId="3" borderId="167" xfId="4" applyFill="1" applyBorder="1" applyAlignment="1">
      <alignment horizontal="left"/>
    </xf>
    <xf numFmtId="167" fontId="12" fillId="3" borderId="167" xfId="4" applyNumberFormat="1" applyFill="1" applyBorder="1"/>
    <xf numFmtId="0" fontId="12" fillId="3" borderId="167" xfId="4" applyFill="1" applyBorder="1" applyAlignment="1">
      <alignment horizontal="left" vertical="top" wrapText="1"/>
    </xf>
    <xf numFmtId="0" fontId="13" fillId="3" borderId="132" xfId="4" applyFont="1" applyFill="1" applyBorder="1"/>
    <xf numFmtId="0" fontId="13" fillId="3" borderId="211" xfId="4" applyFont="1" applyFill="1" applyBorder="1"/>
    <xf numFmtId="0" fontId="13" fillId="3" borderId="211" xfId="4" applyFont="1" applyFill="1" applyBorder="1" applyAlignment="1">
      <alignment horizontal="center"/>
    </xf>
    <xf numFmtId="0" fontId="13" fillId="3" borderId="31" xfId="4" applyFont="1" applyFill="1" applyBorder="1"/>
    <xf numFmtId="0" fontId="13" fillId="3" borderId="25" xfId="4" applyFont="1" applyFill="1" applyBorder="1" applyAlignment="1">
      <alignment wrapText="1"/>
    </xf>
    <xf numFmtId="0" fontId="13" fillId="3" borderId="25" xfId="4" applyFont="1" applyFill="1" applyBorder="1" applyAlignment="1">
      <alignment horizontal="center"/>
    </xf>
    <xf numFmtId="0" fontId="13" fillId="3" borderId="37" xfId="4" applyFont="1" applyFill="1" applyBorder="1"/>
    <xf numFmtId="0" fontId="13" fillId="3" borderId="37" xfId="4" applyFont="1" applyFill="1" applyBorder="1" applyAlignment="1">
      <alignment horizontal="center"/>
    </xf>
    <xf numFmtId="0" fontId="12" fillId="3" borderId="167" xfId="4" applyFill="1" applyBorder="1" applyAlignment="1">
      <alignment wrapText="1"/>
    </xf>
    <xf numFmtId="0" fontId="12" fillId="3" borderId="167" xfId="4" applyFill="1" applyBorder="1" applyAlignment="1">
      <alignment horizontal="center" wrapText="1"/>
    </xf>
    <xf numFmtId="0" fontId="13" fillId="3" borderId="120" xfId="4" applyFont="1" applyFill="1" applyBorder="1"/>
    <xf numFmtId="0" fontId="13" fillId="3" borderId="123" xfId="4" applyFont="1" applyFill="1" applyBorder="1"/>
    <xf numFmtId="0" fontId="13" fillId="0" borderId="167" xfId="4" applyFont="1" applyBorder="1" applyAlignment="1">
      <alignment horizontal="left" wrapText="1"/>
    </xf>
    <xf numFmtId="0" fontId="13" fillId="0" borderId="37" xfId="4" applyFont="1" applyBorder="1" applyAlignment="1">
      <alignment horizontal="left" vertical="top" wrapText="1"/>
    </xf>
    <xf numFmtId="167" fontId="13" fillId="0" borderId="37" xfId="4" applyNumberFormat="1" applyFont="1" applyBorder="1"/>
    <xf numFmtId="0" fontId="39" fillId="0" borderId="0" xfId="4" applyFont="1"/>
    <xf numFmtId="0" fontId="8" fillId="0" borderId="172" xfId="9" applyFont="1" applyBorder="1" applyAlignment="1">
      <alignment horizontal="center" vertical="top" wrapText="1"/>
    </xf>
    <xf numFmtId="0" fontId="8" fillId="0" borderId="164" xfId="0" applyFont="1" applyBorder="1" applyAlignment="1">
      <alignment wrapText="1"/>
    </xf>
    <xf numFmtId="0" fontId="27" fillId="0" borderId="167" xfId="0" applyFont="1" applyBorder="1" applyAlignment="1">
      <alignment vertical="top" wrapText="1"/>
    </xf>
    <xf numFmtId="169" fontId="27" fillId="0" borderId="167" xfId="0" applyNumberFormat="1" applyFont="1" applyBorder="1" applyAlignment="1">
      <alignment horizontal="right" vertical="top" wrapText="1"/>
    </xf>
    <xf numFmtId="168" fontId="27" fillId="0" borderId="167" xfId="0" applyNumberFormat="1" applyFont="1" applyBorder="1" applyAlignment="1">
      <alignment horizontal="right" vertical="top" wrapText="1"/>
    </xf>
    <xf numFmtId="0" fontId="27" fillId="0" borderId="164" xfId="0" applyFont="1" applyBorder="1" applyAlignment="1">
      <alignment wrapText="1"/>
    </xf>
    <xf numFmtId="167" fontId="27" fillId="0" borderId="167" xfId="0" applyNumberFormat="1" applyFont="1" applyBorder="1" applyAlignment="1">
      <alignment horizontal="right" vertical="top" wrapText="1"/>
    </xf>
    <xf numFmtId="169" fontId="8" fillId="0" borderId="167" xfId="4" applyNumberFormat="1" applyFont="1" applyBorder="1" applyAlignment="1">
      <alignment horizontal="right"/>
    </xf>
    <xf numFmtId="168" fontId="9" fillId="0" borderId="167" xfId="0" applyNumberFormat="1" applyFont="1" applyBorder="1" applyAlignment="1">
      <alignment horizontal="right" vertical="top" wrapText="1"/>
    </xf>
    <xf numFmtId="166" fontId="27" fillId="0" borderId="167" xfId="0" applyNumberFormat="1" applyFont="1" applyBorder="1" applyAlignment="1">
      <alignment horizontal="right" vertical="top" wrapText="1"/>
    </xf>
    <xf numFmtId="169" fontId="8" fillId="0" borderId="167" xfId="0" applyNumberFormat="1" applyFont="1" applyBorder="1" applyAlignment="1">
      <alignment horizontal="right" vertical="top" wrapText="1"/>
    </xf>
    <xf numFmtId="2" fontId="8" fillId="0" borderId="167" xfId="0" applyNumberFormat="1" applyFont="1" applyBorder="1" applyAlignment="1">
      <alignment horizontal="right" vertical="top" wrapText="1"/>
    </xf>
    <xf numFmtId="0" fontId="9" fillId="0" borderId="164" xfId="0" applyFont="1" applyBorder="1" applyAlignment="1">
      <alignment wrapText="1"/>
    </xf>
    <xf numFmtId="169" fontId="8" fillId="0" borderId="167" xfId="0" applyNumberFormat="1" applyFont="1" applyBorder="1" applyAlignment="1">
      <alignment horizontal="right"/>
    </xf>
    <xf numFmtId="169" fontId="34" fillId="0" borderId="7" xfId="0" applyNumberFormat="1" applyFont="1" applyBorder="1" applyAlignment="1">
      <alignment vertical="top"/>
    </xf>
    <xf numFmtId="169" fontId="34" fillId="0" borderId="167" xfId="4" applyNumberFormat="1" applyFont="1" applyBorder="1"/>
    <xf numFmtId="167" fontId="44" fillId="0" borderId="167" xfId="4" applyNumberFormat="1" applyFont="1" applyBorder="1"/>
    <xf numFmtId="167" fontId="34" fillId="0" borderId="167" xfId="4" applyNumberFormat="1" applyFont="1" applyBorder="1"/>
    <xf numFmtId="169" fontId="12" fillId="0" borderId="157" xfId="4" applyNumberFormat="1" applyBorder="1"/>
    <xf numFmtId="167" fontId="12" fillId="0" borderId="158" xfId="4" applyNumberFormat="1" applyBorder="1"/>
    <xf numFmtId="167" fontId="12" fillId="0" borderId="34" xfId="0" applyNumberFormat="1" applyFont="1" applyBorder="1" applyAlignment="1">
      <alignment vertical="top"/>
    </xf>
    <xf numFmtId="167" fontId="13" fillId="0" borderId="15" xfId="0" applyNumberFormat="1" applyFont="1" applyBorder="1" applyAlignment="1">
      <alignment horizontal="right" vertical="top" wrapText="1"/>
    </xf>
    <xf numFmtId="169" fontId="12" fillId="0" borderId="3" xfId="4" applyNumberFormat="1" applyBorder="1" applyAlignment="1">
      <alignment vertical="top"/>
    </xf>
    <xf numFmtId="167" fontId="12" fillId="0" borderId="1" xfId="4" applyNumberFormat="1" applyBorder="1" applyAlignment="1">
      <alignment vertical="top"/>
    </xf>
    <xf numFmtId="167" fontId="12" fillId="4" borderId="13" xfId="1328" applyNumberFormat="1" applyFill="1" applyBorder="1"/>
    <xf numFmtId="170" fontId="9" fillId="0" borderId="167" xfId="0" applyNumberFormat="1" applyFont="1" applyBorder="1" applyAlignment="1">
      <alignment horizontal="right"/>
    </xf>
    <xf numFmtId="170" fontId="9" fillId="0" borderId="167" xfId="0" applyNumberFormat="1" applyFont="1" applyBorder="1" applyAlignment="1">
      <alignment horizontal="right" vertical="top" wrapText="1"/>
    </xf>
    <xf numFmtId="0" fontId="13" fillId="3" borderId="72" xfId="4" applyFont="1" applyFill="1" applyBorder="1"/>
    <xf numFmtId="167" fontId="13" fillId="0" borderId="212" xfId="4" applyNumberFormat="1" applyFont="1" applyBorder="1"/>
    <xf numFmtId="169" fontId="13" fillId="0" borderId="29" xfId="0" applyNumberFormat="1" applyFont="1" applyBorder="1" applyAlignment="1">
      <alignment vertical="top"/>
    </xf>
    <xf numFmtId="169" fontId="13" fillId="0" borderId="28" xfId="0" applyNumberFormat="1" applyFont="1" applyBorder="1" applyAlignment="1">
      <alignment vertical="top"/>
    </xf>
    <xf numFmtId="168" fontId="8" fillId="0" borderId="167" xfId="0" applyNumberFormat="1" applyFont="1" applyBorder="1" applyAlignment="1">
      <alignment horizontal="right" vertical="top" wrapText="1"/>
    </xf>
    <xf numFmtId="0" fontId="10" fillId="3" borderId="0" xfId="0" applyFont="1" applyFill="1" applyAlignment="1">
      <alignment horizontal="center"/>
    </xf>
    <xf numFmtId="169" fontId="12" fillId="0" borderId="121" xfId="0" applyNumberFormat="1" applyFont="1" applyBorder="1" applyAlignment="1">
      <alignment vertical="top"/>
    </xf>
    <xf numFmtId="0" fontId="13" fillId="0" borderId="27" xfId="4" applyFont="1" applyBorder="1" applyAlignment="1">
      <alignment wrapText="1"/>
    </xf>
    <xf numFmtId="0" fontId="13" fillId="0" borderId="210" xfId="4" applyFont="1" applyBorder="1" applyAlignment="1">
      <alignment horizontal="center" vertical="center" wrapText="1"/>
    </xf>
    <xf numFmtId="0" fontId="13" fillId="0" borderId="210" xfId="4" applyFont="1" applyBorder="1" applyAlignment="1">
      <alignment horizontal="center"/>
    </xf>
    <xf numFmtId="169" fontId="13" fillId="0" borderId="44" xfId="0" applyNumberFormat="1" applyFont="1" applyBorder="1" applyAlignment="1">
      <alignment vertical="top"/>
    </xf>
    <xf numFmtId="169" fontId="44" fillId="0" borderId="7" xfId="0" applyNumberFormat="1" applyFont="1" applyBorder="1" applyAlignment="1">
      <alignment vertical="top"/>
    </xf>
    <xf numFmtId="169" fontId="13" fillId="0" borderId="157" xfId="0" applyNumberFormat="1" applyFont="1" applyBorder="1" applyAlignment="1">
      <alignment vertical="top"/>
    </xf>
    <xf numFmtId="169" fontId="13" fillId="0" borderId="132" xfId="0" applyNumberFormat="1" applyFont="1" applyBorder="1" applyAlignment="1">
      <alignment vertical="top"/>
    </xf>
    <xf numFmtId="168" fontId="13" fillId="0" borderId="1" xfId="0" applyNumberFormat="1" applyFont="1" applyBorder="1" applyAlignment="1">
      <alignment vertical="top"/>
    </xf>
    <xf numFmtId="169" fontId="13" fillId="0" borderId="3" xfId="4" applyNumberFormat="1" applyFont="1" applyBorder="1" applyAlignment="1">
      <alignment vertical="top"/>
    </xf>
    <xf numFmtId="169" fontId="13" fillId="0" borderId="1" xfId="4" applyNumberFormat="1" applyFont="1" applyBorder="1" applyAlignment="1">
      <alignment vertical="top"/>
    </xf>
    <xf numFmtId="168" fontId="13" fillId="0" borderId="38" xfId="0" applyNumberFormat="1" applyFont="1" applyBorder="1" applyAlignment="1">
      <alignment vertical="top"/>
    </xf>
    <xf numFmtId="169" fontId="13" fillId="0" borderId="158" xfId="0" applyNumberFormat="1" applyFont="1" applyBorder="1"/>
    <xf numFmtId="170" fontId="13" fillId="0" borderId="62" xfId="0" applyNumberFormat="1" applyFont="1" applyBorder="1"/>
    <xf numFmtId="169" fontId="13" fillId="0" borderId="166" xfId="0" applyNumberFormat="1" applyFont="1" applyBorder="1" applyAlignment="1">
      <alignment wrapText="1"/>
    </xf>
    <xf numFmtId="168" fontId="13" fillId="0" borderId="50" xfId="0" applyNumberFormat="1" applyFont="1" applyBorder="1" applyAlignment="1">
      <alignment vertical="top"/>
    </xf>
    <xf numFmtId="169" fontId="13" fillId="0" borderId="50" xfId="0" applyNumberFormat="1" applyFont="1" applyBorder="1" applyAlignment="1">
      <alignment vertical="top"/>
    </xf>
    <xf numFmtId="170" fontId="13" fillId="0" borderId="50" xfId="0" applyNumberFormat="1" applyFont="1" applyBorder="1" applyAlignment="1">
      <alignment vertical="top"/>
    </xf>
    <xf numFmtId="0" fontId="10" fillId="0" borderId="0" xfId="0" applyFont="1" applyAlignment="1">
      <alignment horizontal="center"/>
    </xf>
    <xf numFmtId="0" fontId="0" fillId="0" borderId="0" xfId="0" applyAlignment="1">
      <alignment horizontal="center"/>
    </xf>
    <xf numFmtId="0" fontId="8" fillId="0" borderId="167" xfId="0" applyFont="1" applyBorder="1" applyAlignment="1">
      <alignment vertical="top" wrapText="1"/>
    </xf>
    <xf numFmtId="0" fontId="8" fillId="0" borderId="167" xfId="0" applyFont="1" applyBorder="1"/>
    <xf numFmtId="0" fontId="9" fillId="0" borderId="0" xfId="0" applyFont="1"/>
    <xf numFmtId="0" fontId="12" fillId="0" borderId="0" xfId="0" applyFont="1" applyAlignment="1">
      <alignment horizontal="left"/>
    </xf>
    <xf numFmtId="0" fontId="0" fillId="0" borderId="0" xfId="0" applyAlignment="1">
      <alignment horizontal="left"/>
    </xf>
    <xf numFmtId="0" fontId="8" fillId="0" borderId="0" xfId="0" applyFont="1" applyAlignment="1">
      <alignment horizontal="left"/>
    </xf>
    <xf numFmtId="0" fontId="12" fillId="0" borderId="79" xfId="1328" applyBorder="1" applyAlignment="1">
      <alignment wrapText="1"/>
    </xf>
    <xf numFmtId="0" fontId="12" fillId="0" borderId="77" xfId="1328" applyBorder="1" applyAlignment="1">
      <alignment wrapText="1"/>
    </xf>
    <xf numFmtId="0" fontId="12" fillId="0" borderId="73" xfId="1328" applyBorder="1" applyAlignment="1">
      <alignment wrapText="1"/>
    </xf>
    <xf numFmtId="0" fontId="12" fillId="0" borderId="17" xfId="1328" applyBorder="1" applyAlignment="1">
      <alignment horizontal="center" vertical="center"/>
    </xf>
    <xf numFmtId="0" fontId="12" fillId="0" borderId="184" xfId="1328" applyBorder="1" applyAlignment="1">
      <alignment horizontal="center" vertical="center"/>
    </xf>
    <xf numFmtId="0" fontId="12" fillId="0" borderId="188" xfId="1328" applyBorder="1" applyAlignment="1">
      <alignment horizontal="center" vertical="center"/>
    </xf>
    <xf numFmtId="0" fontId="12" fillId="0" borderId="13" xfId="1328" applyBorder="1" applyAlignment="1">
      <alignment horizontal="center" vertical="center" wrapText="1"/>
    </xf>
    <xf numFmtId="0" fontId="12" fillId="0" borderId="188" xfId="1328" applyBorder="1" applyAlignment="1">
      <alignment horizontal="center" vertical="center" wrapText="1"/>
    </xf>
    <xf numFmtId="0" fontId="12" fillId="0" borderId="164" xfId="1328" applyBorder="1" applyAlignment="1">
      <alignment horizontal="center"/>
    </xf>
    <xf numFmtId="0" fontId="12" fillId="0" borderId="172" xfId="1328" applyBorder="1" applyAlignment="1">
      <alignment horizontal="center"/>
    </xf>
    <xf numFmtId="0" fontId="12" fillId="0" borderId="147" xfId="1328" applyBorder="1" applyAlignment="1">
      <alignment horizontal="center"/>
    </xf>
    <xf numFmtId="0" fontId="8" fillId="0" borderId="0" xfId="0" applyFont="1"/>
    <xf numFmtId="0" fontId="0" fillId="0" borderId="0" xfId="0"/>
    <xf numFmtId="0" fontId="13" fillId="0" borderId="0" xfId="0" applyFont="1" applyAlignment="1">
      <alignment horizontal="center"/>
    </xf>
    <xf numFmtId="0" fontId="12" fillId="0" borderId="92" xfId="9" applyBorder="1" applyAlignment="1">
      <alignment horizontal="center" vertical="center" wrapText="1"/>
    </xf>
    <xf numFmtId="0" fontId="12" fillId="0" borderId="83" xfId="9" applyBorder="1" applyAlignment="1">
      <alignment horizontal="center" vertical="center" wrapText="1"/>
    </xf>
    <xf numFmtId="0" fontId="12" fillId="0" borderId="81" xfId="9" applyBorder="1" applyAlignment="1">
      <alignment horizontal="center" vertical="center" wrapText="1"/>
    </xf>
    <xf numFmtId="0" fontId="13" fillId="0" borderId="94" xfId="9" applyFont="1" applyBorder="1" applyAlignment="1">
      <alignment horizontal="center" vertical="center" wrapText="1"/>
    </xf>
    <xf numFmtId="0" fontId="13" fillId="0" borderId="95" xfId="9" applyFont="1" applyBorder="1" applyAlignment="1">
      <alignment horizontal="center" vertical="center" wrapText="1"/>
    </xf>
    <xf numFmtId="0" fontId="13" fillId="0" borderId="96" xfId="9" applyFont="1" applyBorder="1" applyAlignment="1">
      <alignment horizontal="center" vertical="center" wrapText="1"/>
    </xf>
    <xf numFmtId="0" fontId="12" fillId="0" borderId="90" xfId="9" applyBorder="1" applyAlignment="1">
      <alignment horizontal="center" vertical="center" wrapText="1"/>
    </xf>
    <xf numFmtId="0" fontId="12" fillId="0" borderId="91" xfId="9" applyBorder="1" applyAlignment="1">
      <alignment horizontal="center" vertical="center" wrapText="1"/>
    </xf>
    <xf numFmtId="0" fontId="12" fillId="0" borderId="82" xfId="9" applyBorder="1" applyAlignment="1">
      <alignment horizontal="center" vertical="center" wrapText="1"/>
    </xf>
    <xf numFmtId="0" fontId="12" fillId="0" borderId="93" xfId="9" applyBorder="1" applyAlignment="1">
      <alignment horizontal="center" vertical="center" wrapText="1"/>
    </xf>
    <xf numFmtId="0" fontId="12" fillId="0" borderId="80" xfId="9" applyBorder="1" applyAlignment="1">
      <alignment horizontal="center" vertical="center" wrapText="1"/>
    </xf>
    <xf numFmtId="0" fontId="0" fillId="0" borderId="42" xfId="0" applyBorder="1"/>
    <xf numFmtId="0" fontId="0" fillId="0" borderId="72" xfId="0" applyBorder="1"/>
    <xf numFmtId="0" fontId="12" fillId="0" borderId="85" xfId="9" applyBorder="1" applyAlignment="1">
      <alignment horizontal="center" vertical="center" wrapText="1"/>
    </xf>
    <xf numFmtId="0" fontId="12" fillId="0" borderId="86" xfId="9" applyBorder="1" applyAlignment="1">
      <alignment horizontal="center" vertical="center" wrapText="1"/>
    </xf>
    <xf numFmtId="0" fontId="12" fillId="0" borderId="87" xfId="9" applyBorder="1" applyAlignment="1">
      <alignment horizontal="center" vertical="center" wrapText="1"/>
    </xf>
    <xf numFmtId="0" fontId="13" fillId="0" borderId="88" xfId="9" applyFont="1" applyBorder="1" applyAlignment="1">
      <alignment horizontal="center" vertical="center" wrapText="1"/>
    </xf>
    <xf numFmtId="0" fontId="13" fillId="0" borderId="84" xfId="9" applyFont="1" applyBorder="1" applyAlignment="1">
      <alignment horizontal="center" vertical="center" wrapText="1"/>
    </xf>
    <xf numFmtId="0" fontId="13" fillId="0" borderId="89" xfId="9" applyFont="1" applyBorder="1" applyAlignment="1">
      <alignment horizontal="center" vertical="center" wrapText="1"/>
    </xf>
    <xf numFmtId="0" fontId="12" fillId="0" borderId="99" xfId="0" applyFont="1" applyBorder="1" applyAlignment="1">
      <alignment horizontal="center" vertical="top" wrapText="1"/>
    </xf>
    <xf numFmtId="0" fontId="12" fillId="0" borderId="55" xfId="0" applyFont="1" applyBorder="1" applyAlignment="1">
      <alignment horizontal="center" vertical="top" wrapText="1"/>
    </xf>
    <xf numFmtId="0" fontId="12" fillId="0" borderId="22" xfId="0" applyFont="1" applyBorder="1" applyAlignment="1">
      <alignment horizontal="center" vertical="top" wrapText="1"/>
    </xf>
    <xf numFmtId="0" fontId="12" fillId="0" borderId="56" xfId="0" applyFont="1" applyBorder="1" applyAlignment="1">
      <alignment horizontal="center" vertical="top" wrapText="1"/>
    </xf>
    <xf numFmtId="0" fontId="12" fillId="0" borderId="22" xfId="9" applyBorder="1" applyAlignment="1">
      <alignment horizontal="center" vertical="top" wrapText="1"/>
    </xf>
    <xf numFmtId="0" fontId="12" fillId="0" borderId="56" xfId="9" applyBorder="1" applyAlignment="1">
      <alignment horizontal="center" vertical="top" wrapText="1"/>
    </xf>
    <xf numFmtId="0" fontId="12" fillId="0" borderId="98" xfId="0" applyFont="1" applyBorder="1" applyAlignment="1">
      <alignment horizontal="center" vertical="top" wrapText="1"/>
    </xf>
    <xf numFmtId="0" fontId="9" fillId="0" borderId="0" xfId="0" applyFont="1" applyAlignment="1">
      <alignment horizontal="center" vertical="center"/>
    </xf>
    <xf numFmtId="0" fontId="8" fillId="0" borderId="0" xfId="0" applyFont="1" applyAlignment="1">
      <alignment horizontal="center" vertical="center"/>
    </xf>
    <xf numFmtId="0" fontId="30" fillId="0" borderId="0" xfId="0" applyFont="1" applyAlignment="1">
      <alignment horizontal="center"/>
    </xf>
    <xf numFmtId="0" fontId="10" fillId="0" borderId="0" xfId="0" applyFont="1"/>
    <xf numFmtId="0" fontId="10" fillId="0" borderId="0" xfId="0" applyFont="1" applyAlignment="1">
      <alignment horizontal="left"/>
    </xf>
    <xf numFmtId="0" fontId="12" fillId="0" borderId="128" xfId="0" applyFont="1" applyBorder="1" applyAlignment="1">
      <alignment horizontal="center" vertical="top" wrapText="1"/>
    </xf>
    <xf numFmtId="0" fontId="13" fillId="0" borderId="99" xfId="0" applyFont="1" applyBorder="1" applyAlignment="1">
      <alignment horizontal="center" vertical="center" wrapText="1"/>
    </xf>
    <xf numFmtId="0" fontId="13" fillId="0" borderId="98" xfId="0" applyFont="1" applyBorder="1" applyAlignment="1">
      <alignment horizontal="center" vertical="center" wrapText="1"/>
    </xf>
    <xf numFmtId="0" fontId="13" fillId="0" borderId="128" xfId="0" applyFont="1" applyBorder="1" applyAlignment="1">
      <alignment horizontal="center" vertical="center" wrapText="1"/>
    </xf>
    <xf numFmtId="0" fontId="13" fillId="0" borderId="55" xfId="0" applyFont="1" applyBorder="1" applyAlignment="1">
      <alignment horizontal="center" vertical="center" wrapText="1"/>
    </xf>
    <xf numFmtId="0" fontId="12" fillId="3" borderId="22" xfId="0" applyFont="1" applyFill="1" applyBorder="1" applyAlignment="1">
      <alignment vertical="center" wrapText="1"/>
    </xf>
    <xf numFmtId="0" fontId="12" fillId="3" borderId="56" xfId="0" applyFont="1" applyFill="1" applyBorder="1" applyAlignment="1">
      <alignment vertical="center" wrapText="1"/>
    </xf>
    <xf numFmtId="0" fontId="12" fillId="0" borderId="22"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97" xfId="4" applyBorder="1" applyAlignment="1">
      <alignment horizontal="center" vertical="top" wrapText="1"/>
    </xf>
    <xf numFmtId="0" fontId="12" fillId="0" borderId="75" xfId="4" applyBorder="1" applyAlignment="1">
      <alignment horizontal="center" vertical="top" wrapText="1"/>
    </xf>
    <xf numFmtId="0" fontId="12" fillId="0" borderId="79" xfId="4" applyBorder="1" applyAlignment="1">
      <alignment horizontal="center" vertical="top" wrapText="1"/>
    </xf>
    <xf numFmtId="0" fontId="12" fillId="0" borderId="73" xfId="4" applyBorder="1" applyAlignment="1">
      <alignment horizontal="center" vertical="top" wrapText="1"/>
    </xf>
    <xf numFmtId="0" fontId="12" fillId="0" borderId="43" xfId="4" applyBorder="1" applyAlignment="1">
      <alignment horizontal="center" vertical="top"/>
    </xf>
    <xf numFmtId="0" fontId="12" fillId="0" borderId="168" xfId="4" applyBorder="1" applyAlignment="1">
      <alignment horizontal="center" vertical="top"/>
    </xf>
    <xf numFmtId="0" fontId="9" fillId="0" borderId="195" xfId="0" applyFont="1" applyBorder="1" applyAlignment="1">
      <alignment horizontal="center"/>
    </xf>
    <xf numFmtId="0" fontId="9" fillId="0" borderId="198" xfId="0" applyFont="1" applyBorder="1" applyAlignment="1">
      <alignment horizontal="center"/>
    </xf>
    <xf numFmtId="0" fontId="9" fillId="0" borderId="199" xfId="0" applyFont="1" applyBorder="1" applyAlignment="1">
      <alignment horizontal="center"/>
    </xf>
    <xf numFmtId="0" fontId="40" fillId="0" borderId="17" xfId="1327" applyFont="1" applyBorder="1" applyAlignment="1">
      <alignment horizontal="center" vertical="center" wrapText="1"/>
    </xf>
    <xf numFmtId="0" fontId="40" fillId="0" borderId="184" xfId="0" applyFont="1" applyBorder="1" applyAlignment="1">
      <alignment horizontal="center" vertical="center" wrapText="1"/>
    </xf>
    <xf numFmtId="0" fontId="40" fillId="0" borderId="188" xfId="0" applyFont="1" applyBorder="1" applyAlignment="1">
      <alignment horizontal="center" vertical="center" wrapText="1"/>
    </xf>
    <xf numFmtId="0" fontId="12" fillId="0" borderId="22" xfId="0" applyFont="1" applyBorder="1" applyAlignment="1">
      <alignment vertical="top" wrapText="1"/>
    </xf>
    <xf numFmtId="0" fontId="0" fillId="0" borderId="49" xfId="0" applyBorder="1" applyAlignment="1">
      <alignment vertical="top" wrapText="1"/>
    </xf>
    <xf numFmtId="0" fontId="0" fillId="0" borderId="56" xfId="0" applyBorder="1" applyAlignment="1">
      <alignment vertical="top" wrapText="1"/>
    </xf>
    <xf numFmtId="0" fontId="40" fillId="0" borderId="4" xfId="1327" applyFont="1" applyBorder="1" applyAlignment="1">
      <alignment horizontal="center" vertical="center" wrapText="1"/>
    </xf>
    <xf numFmtId="0" fontId="40" fillId="0" borderId="120" xfId="1327" applyFont="1" applyBorder="1" applyAlignment="1">
      <alignment horizontal="center" vertical="center" wrapText="1"/>
    </xf>
    <xf numFmtId="0" fontId="40" fillId="0" borderId="194" xfId="1327" applyFont="1" applyBorder="1" applyAlignment="1">
      <alignment horizontal="center" vertical="center" wrapText="1"/>
    </xf>
    <xf numFmtId="0" fontId="40" fillId="0" borderId="46" xfId="0" applyFont="1" applyBorder="1" applyAlignment="1">
      <alignment horizontal="center" vertical="top" wrapText="1"/>
    </xf>
    <xf numFmtId="0" fontId="40" fillId="0" borderId="158" xfId="0" applyFont="1" applyBorder="1" applyAlignment="1">
      <alignment horizontal="center" vertical="top" wrapText="1"/>
    </xf>
    <xf numFmtId="0" fontId="40" fillId="0" borderId="21" xfId="0" applyFont="1" applyBorder="1" applyAlignment="1">
      <alignment horizontal="center" vertical="top" wrapText="1"/>
    </xf>
    <xf numFmtId="0" fontId="9" fillId="0" borderId="43" xfId="0" applyFont="1" applyBorder="1"/>
    <xf numFmtId="0" fontId="8" fillId="0" borderId="43" xfId="0" applyFont="1" applyBorder="1"/>
    <xf numFmtId="0" fontId="8" fillId="0" borderId="46" xfId="0" applyFont="1" applyBorder="1"/>
    <xf numFmtId="0" fontId="8" fillId="0" borderId="164" xfId="0" applyFont="1" applyBorder="1" applyAlignment="1">
      <alignment horizontal="center"/>
    </xf>
    <xf numFmtId="0" fontId="8" fillId="0" borderId="172" xfId="0" applyFont="1" applyBorder="1" applyAlignment="1">
      <alignment horizontal="center"/>
    </xf>
    <xf numFmtId="0" fontId="8" fillId="0" borderId="147" xfId="0" applyFont="1" applyBorder="1" applyAlignment="1">
      <alignment horizontal="center"/>
    </xf>
    <xf numFmtId="0" fontId="30" fillId="0" borderId="30" xfId="2626" applyFont="1" applyBorder="1" applyAlignment="1">
      <alignment horizontal="center" vertical="top"/>
    </xf>
    <xf numFmtId="0" fontId="30" fillId="0" borderId="202" xfId="2626" applyFont="1" applyBorder="1" applyAlignment="1">
      <alignment horizontal="center" vertical="top"/>
    </xf>
    <xf numFmtId="0" fontId="30" fillId="0" borderId="206" xfId="2626" applyFont="1" applyBorder="1" applyAlignment="1">
      <alignment horizontal="center" vertical="top"/>
    </xf>
    <xf numFmtId="0" fontId="24" fillId="0" borderId="0" xfId="1329" applyFont="1" applyAlignment="1">
      <alignment wrapText="1"/>
    </xf>
    <xf numFmtId="0" fontId="20" fillId="0" borderId="0" xfId="1329" applyFont="1" applyAlignment="1">
      <alignment wrapText="1"/>
    </xf>
    <xf numFmtId="0" fontId="29" fillId="0" borderId="0" xfId="1329" applyFont="1" applyAlignment="1">
      <alignment wrapText="1"/>
    </xf>
    <xf numFmtId="0" fontId="30" fillId="0" borderId="92" xfId="2626" applyFont="1" applyBorder="1" applyAlignment="1">
      <alignment horizontal="center" vertical="top" wrapText="1"/>
    </xf>
    <xf numFmtId="0" fontId="30" fillId="0" borderId="30" xfId="2626" applyFont="1" applyBorder="1" applyAlignment="1">
      <alignment horizontal="center" vertical="top" wrapText="1"/>
    </xf>
    <xf numFmtId="0" fontId="30" fillId="0" borderId="202" xfId="2626" applyFont="1" applyBorder="1" applyAlignment="1">
      <alignment horizontal="center" vertical="top" wrapText="1"/>
    </xf>
    <xf numFmtId="0" fontId="30" fillId="0" borderId="206" xfId="2626" applyFont="1" applyBorder="1" applyAlignment="1">
      <alignment horizontal="center" vertical="top" wrapText="1"/>
    </xf>
    <xf numFmtId="0" fontId="30" fillId="0" borderId="81" xfId="2626" applyFont="1" applyBorder="1" applyAlignment="1">
      <alignment horizontal="center" vertical="top"/>
    </xf>
    <xf numFmtId="0" fontId="30" fillId="0" borderId="201" xfId="2626" applyFont="1" applyBorder="1" applyAlignment="1">
      <alignment horizontal="center" vertical="top"/>
    </xf>
    <xf numFmtId="0" fontId="30" fillId="0" borderId="89" xfId="2626" applyFont="1" applyBorder="1" applyAlignment="1">
      <alignment horizontal="center" vertical="top"/>
    </xf>
    <xf numFmtId="0" fontId="30" fillId="0" borderId="203" xfId="2626" applyFont="1" applyBorder="1" applyAlignment="1">
      <alignment horizontal="center" vertical="top"/>
    </xf>
    <xf numFmtId="0" fontId="30" fillId="0" borderId="204" xfId="2626" applyFont="1" applyBorder="1" applyAlignment="1">
      <alignment horizontal="center" vertical="top"/>
    </xf>
    <xf numFmtId="0" fontId="30" fillId="0" borderId="205" xfId="2626" applyFont="1" applyBorder="1" applyAlignment="1">
      <alignment horizontal="center" vertical="top"/>
    </xf>
    <xf numFmtId="0" fontId="30" fillId="0" borderId="92" xfId="2626" applyFont="1" applyBorder="1" applyAlignment="1">
      <alignment horizontal="center" vertical="top"/>
    </xf>
    <xf numFmtId="0" fontId="12" fillId="0" borderId="0" xfId="0" applyFont="1"/>
    <xf numFmtId="0" fontId="12" fillId="0" borderId="0" xfId="0" applyFont="1" applyAlignment="1">
      <alignment wrapText="1"/>
    </xf>
    <xf numFmtId="0" fontId="0" fillId="0" borderId="0" xfId="0" applyAlignment="1">
      <alignment wrapText="1"/>
    </xf>
    <xf numFmtId="16" fontId="12" fillId="0" borderId="0" xfId="0" applyNumberFormat="1" applyFont="1"/>
    <xf numFmtId="0" fontId="24" fillId="0" borderId="0" xfId="1329" applyFont="1" applyAlignment="1">
      <alignment horizontal="center" vertical="top" wrapText="1"/>
    </xf>
    <xf numFmtId="0" fontId="12" fillId="0" borderId="0" xfId="1329" applyAlignment="1">
      <alignment vertical="top" wrapText="1"/>
    </xf>
    <xf numFmtId="0" fontId="10" fillId="0" borderId="107" xfId="1329" applyFont="1" applyBorder="1" applyAlignment="1">
      <alignment wrapText="1"/>
    </xf>
    <xf numFmtId="0" fontId="12" fillId="0" borderId="107" xfId="1329" applyBorder="1" applyAlignment="1">
      <alignment wrapText="1"/>
    </xf>
    <xf numFmtId="0" fontId="10" fillId="0" borderId="4" xfId="1329" applyFont="1" applyBorder="1" applyAlignment="1">
      <alignment horizontal="center" vertical="center" wrapText="1"/>
    </xf>
    <xf numFmtId="0" fontId="10" fillId="0" borderId="120" xfId="1329" applyFont="1" applyBorder="1" applyAlignment="1">
      <alignment horizontal="center" vertical="center" wrapText="1"/>
    </xf>
    <xf numFmtId="0" fontId="10" fillId="0" borderId="194" xfId="1329" applyFont="1" applyBorder="1" applyAlignment="1">
      <alignment wrapText="1"/>
    </xf>
    <xf numFmtId="0" fontId="10" fillId="0" borderId="79" xfId="1329" applyFont="1" applyBorder="1" applyAlignment="1">
      <alignment horizontal="center" vertical="top" wrapText="1"/>
    </xf>
    <xf numFmtId="0" fontId="12" fillId="0" borderId="77" xfId="1329" applyBorder="1" applyAlignment="1">
      <alignment horizontal="center" wrapText="1"/>
    </xf>
    <xf numFmtId="0" fontId="12" fillId="0" borderId="73" xfId="1329" applyBorder="1" applyAlignment="1">
      <alignment horizontal="center" wrapText="1"/>
    </xf>
    <xf numFmtId="0" fontId="10" fillId="0" borderId="43" xfId="1329" applyFont="1" applyBorder="1" applyAlignment="1">
      <alignment horizontal="center" vertical="center" wrapText="1"/>
    </xf>
    <xf numFmtId="0" fontId="12" fillId="0" borderId="167" xfId="1329" applyBorder="1" applyAlignment="1">
      <alignment horizontal="center" vertical="center" wrapText="1"/>
    </xf>
    <xf numFmtId="0" fontId="12" fillId="0" borderId="168" xfId="1329" applyBorder="1" applyAlignment="1">
      <alignment horizontal="center" vertical="center" wrapText="1"/>
    </xf>
    <xf numFmtId="0" fontId="10" fillId="0" borderId="167" xfId="1329" applyFont="1" applyBorder="1" applyAlignment="1">
      <alignment horizontal="center" vertical="center" wrapText="1"/>
    </xf>
    <xf numFmtId="0" fontId="10" fillId="0" borderId="168" xfId="1329" applyFont="1" applyBorder="1" applyAlignment="1">
      <alignment horizontal="center" vertical="center" wrapText="1"/>
    </xf>
    <xf numFmtId="0" fontId="10" fillId="0" borderId="97" xfId="1329" applyFont="1" applyBorder="1" applyAlignment="1">
      <alignment horizontal="center" vertical="top" wrapText="1"/>
    </xf>
    <xf numFmtId="0" fontId="10" fillId="0" borderId="193" xfId="1329" applyFont="1" applyBorder="1" applyAlignment="1">
      <alignment horizontal="center" vertical="top" wrapText="1"/>
    </xf>
    <xf numFmtId="0" fontId="10" fillId="0" borderId="75" xfId="1329" applyFont="1" applyBorder="1" applyAlignment="1">
      <alignment horizontal="center" vertical="top" wrapText="1"/>
    </xf>
  </cellXfs>
  <cellStyles count="3491">
    <cellStyle name="Excel Built-in Normal" xfId="1" xr:uid="{00000000-0005-0000-0000-000000000000}"/>
    <cellStyle name="Įprastas" xfId="0" builtinId="0"/>
    <cellStyle name="Įprastas 2" xfId="2" xr:uid="{00000000-0005-0000-0000-000002000000}"/>
    <cellStyle name="Įprastas 2 2" xfId="3" xr:uid="{00000000-0005-0000-0000-000003000000}"/>
    <cellStyle name="Įprastas 3" xfId="4" xr:uid="{00000000-0005-0000-0000-000004000000}"/>
    <cellStyle name="Įprastas 4" xfId="5" xr:uid="{00000000-0005-0000-0000-000005000000}"/>
    <cellStyle name="Įprastas 4 2" xfId="6" xr:uid="{00000000-0005-0000-0000-000006000000}"/>
    <cellStyle name="Įprastas 4 3" xfId="10" xr:uid="{00000000-0005-0000-0000-000007000000}"/>
    <cellStyle name="Įprastas 4 3 2" xfId="11" xr:uid="{00000000-0005-0000-0000-000008000000}"/>
    <cellStyle name="Įprastas 4 3_8 -ES projektai" xfId="12" xr:uid="{00000000-0005-0000-0000-000009000000}"/>
    <cellStyle name="Įprastas 4_5-prpgramos" xfId="7" xr:uid="{00000000-0005-0000-0000-00000A000000}"/>
    <cellStyle name="Įprastas 5" xfId="8" xr:uid="{00000000-0005-0000-0000-00000B000000}"/>
    <cellStyle name="Įprastas 5 10" xfId="34" xr:uid="{00000000-0005-0000-0000-00000C000000}"/>
    <cellStyle name="Įprastas 5 10 2" xfId="619" xr:uid="{00000000-0005-0000-0000-00000D000000}"/>
    <cellStyle name="Įprastas 5 10 2 2" xfId="1331" xr:uid="{58268D8F-03F8-40A2-8414-0EE33499D2D8}"/>
    <cellStyle name="Įprastas 5 10 2 3" xfId="3203" xr:uid="{0432C206-DD19-4067-919F-8865459471AB}"/>
    <cellStyle name="Įprastas 5 10 2_Lapas1" xfId="1330" xr:uid="{02E41EC3-805D-472A-A844-055DCA6E1AA3}"/>
    <cellStyle name="Įprastas 5 10 3" xfId="1332" xr:uid="{8713E263-9DFD-4A87-B8F1-1AD79F0D5FD5}"/>
    <cellStyle name="Įprastas 5 10 4" xfId="2639" xr:uid="{601EB838-4592-4886-8C00-BDC66FD45441}"/>
    <cellStyle name="Įprastas 5 10_8 priedas" xfId="1060" xr:uid="{00000000-0005-0000-0000-00000E000000}"/>
    <cellStyle name="Įprastas 5 11" xfId="35" xr:uid="{00000000-0005-0000-0000-00000F000000}"/>
    <cellStyle name="Įprastas 5 11 2" xfId="763" xr:uid="{00000000-0005-0000-0000-000010000000}"/>
    <cellStyle name="Įprastas 5 11 2 2" xfId="1334" xr:uid="{C9A3052D-BF42-4642-BD9A-50591150D8E4}"/>
    <cellStyle name="Įprastas 5 11 2 3" xfId="3347" xr:uid="{3CE5A795-E9BB-4BE0-85E4-5D2B1D5E8CEF}"/>
    <cellStyle name="Įprastas 5 11 2_Lapas1" xfId="1333" xr:uid="{1851AE13-FE67-4A28-999A-4E300E25F907}"/>
    <cellStyle name="Įprastas 5 11 3" xfId="1335" xr:uid="{4E7AFC8A-07EC-4C5E-A3EC-573074E0A44F}"/>
    <cellStyle name="Įprastas 5 11 4" xfId="2640" xr:uid="{D970DDA2-23C2-4E72-9F13-563F8341A705}"/>
    <cellStyle name="Įprastas 5 11_8 priedas" xfId="1285" xr:uid="{00000000-0005-0000-0000-000011000000}"/>
    <cellStyle name="Įprastas 5 12" xfId="475" xr:uid="{00000000-0005-0000-0000-000012000000}"/>
    <cellStyle name="Įprastas 5 12 2" xfId="1337" xr:uid="{7FEDA5A0-5EDD-4CDD-B733-B9045BD4818D}"/>
    <cellStyle name="Įprastas 5 12 3" xfId="3059" xr:uid="{589EF335-2691-4C54-93A4-1F346EB6A956}"/>
    <cellStyle name="Įprastas 5 12_Lapas1" xfId="1336" xr:uid="{8FB196B6-DCE5-46B2-954C-537805FBEDC7}"/>
    <cellStyle name="Įprastas 5 13" xfId="1338" xr:uid="{B2555F45-909E-4C0B-AD9E-84A037CF61F8}"/>
    <cellStyle name="Įprastas 5 14" xfId="2627" xr:uid="{AB8FBD48-D907-4DB1-B665-9E90ADE4BE17}"/>
    <cellStyle name="Įprastas 5 2" xfId="14" xr:uid="{00000000-0005-0000-0000-000013000000}"/>
    <cellStyle name="Įprastas 5 2 10" xfId="36" xr:uid="{00000000-0005-0000-0000-000014000000}"/>
    <cellStyle name="Įprastas 5 2 10 2" xfId="764" xr:uid="{00000000-0005-0000-0000-000015000000}"/>
    <cellStyle name="Įprastas 5 2 10 2 2" xfId="1340" xr:uid="{471F80ED-C18D-4966-96A2-16A104FC770E}"/>
    <cellStyle name="Įprastas 5 2 10 2 3" xfId="3348" xr:uid="{6DB3ABDA-E851-45BF-8E3D-385D293531EE}"/>
    <cellStyle name="Įprastas 5 2 10 2_Lapas1" xfId="1339" xr:uid="{F8C663F9-AEA8-4F76-903B-66BF20F345AF}"/>
    <cellStyle name="Įprastas 5 2 10 3" xfId="1341" xr:uid="{ADC35E44-5E14-4742-A51E-0B565B206DA9}"/>
    <cellStyle name="Įprastas 5 2 10 4" xfId="2641" xr:uid="{F16CAD5B-B6A3-46E5-9943-7FD2071BA79F}"/>
    <cellStyle name="Įprastas 5 2 10_8 priedas" xfId="1013" xr:uid="{00000000-0005-0000-0000-000016000000}"/>
    <cellStyle name="Įprastas 5 2 11" xfId="476" xr:uid="{00000000-0005-0000-0000-000017000000}"/>
    <cellStyle name="Įprastas 5 2 11 2" xfId="1343" xr:uid="{459F8141-114D-4441-8DE8-76D7541115AF}"/>
    <cellStyle name="Įprastas 5 2 11 3" xfId="3060" xr:uid="{1A39BF3E-3F87-47F9-B6A4-89FFFEFBD272}"/>
    <cellStyle name="Įprastas 5 2 11_Lapas1" xfId="1342" xr:uid="{198755B9-652E-4BDF-8DE3-362989162915}"/>
    <cellStyle name="Įprastas 5 2 12" xfId="1344" xr:uid="{11AFDA63-CA19-40B8-BCB6-A53E40D2ADBC}"/>
    <cellStyle name="Įprastas 5 2 13" xfId="2628" xr:uid="{DF6A3520-9DB5-4C7C-8DBE-19BCE1BA43A1}"/>
    <cellStyle name="Įprastas 5 2 2" xfId="15" xr:uid="{00000000-0005-0000-0000-000018000000}"/>
    <cellStyle name="Įprastas 5 2 2 10" xfId="1345" xr:uid="{29DC840C-A3D7-405F-970A-F6E9149D1F0F}"/>
    <cellStyle name="Įprastas 5 2 2 11" xfId="2629" xr:uid="{8E90D97A-6115-4F10-92CD-EAB82AB43D2C}"/>
    <cellStyle name="Įprastas 5 2 2 2" xfId="25" xr:uid="{00000000-0005-0000-0000-000019000000}"/>
    <cellStyle name="Įprastas 5 2 2 2 10" xfId="2636" xr:uid="{3B4664F3-C628-48CF-9844-20E00D60143C}"/>
    <cellStyle name="Įprastas 5 2 2 2 2" xfId="38" xr:uid="{00000000-0005-0000-0000-00001A000000}"/>
    <cellStyle name="Įprastas 5 2 2 2 2 2" xfId="39" xr:uid="{00000000-0005-0000-0000-00001B000000}"/>
    <cellStyle name="Įprastas 5 2 2 2 2 2 2" xfId="40" xr:uid="{00000000-0005-0000-0000-00001C000000}"/>
    <cellStyle name="Įprastas 5 2 2 2 2 2 2 2" xfId="41" xr:uid="{00000000-0005-0000-0000-00001D000000}"/>
    <cellStyle name="Įprastas 5 2 2 2 2 2 2 2 2" xfId="712" xr:uid="{00000000-0005-0000-0000-00001E000000}"/>
    <cellStyle name="Įprastas 5 2 2 2 2 2 2 2 2 2" xfId="1347" xr:uid="{FB0873DB-EC77-408B-8D6E-545DC0C0C73C}"/>
    <cellStyle name="Įprastas 5 2 2 2 2 2 2 2 2 3" xfId="3296" xr:uid="{1E47CCD1-1045-47A9-AAF0-AE62F6CDE8C3}"/>
    <cellStyle name="Įprastas 5 2 2 2 2 2 2 2 2_Lapas1" xfId="1346" xr:uid="{28B7D4F2-4694-4441-B6B8-A80C47AA4728}"/>
    <cellStyle name="Įprastas 5 2 2 2 2 2 2 2 3" xfId="1348" xr:uid="{5F26BB92-FE1A-4282-B761-0F44895931E3}"/>
    <cellStyle name="Įprastas 5 2 2 2 2 2 2 2 4" xfId="2645" xr:uid="{446DA553-C77A-43CD-AF44-170232CACFB2}"/>
    <cellStyle name="Įprastas 5 2 2 2 2 2 2 2_8 priedas" xfId="1059" xr:uid="{00000000-0005-0000-0000-00001F000000}"/>
    <cellStyle name="Įprastas 5 2 2 2 2 2 2 3" xfId="42" xr:uid="{00000000-0005-0000-0000-000020000000}"/>
    <cellStyle name="Įprastas 5 2 2 2 2 2 2 3 2" xfId="856" xr:uid="{00000000-0005-0000-0000-000021000000}"/>
    <cellStyle name="Įprastas 5 2 2 2 2 2 2 3 2 2" xfId="1350" xr:uid="{4AA5545D-FB42-4D49-B7B9-85CE18712FC3}"/>
    <cellStyle name="Įprastas 5 2 2 2 2 2 2 3 2 3" xfId="3440" xr:uid="{10AFF112-23CC-4042-BD03-F50870B071E4}"/>
    <cellStyle name="Įprastas 5 2 2 2 2 2 2 3 2_Lapas1" xfId="1349" xr:uid="{ACF26005-3E28-4B9D-8C51-FE3D8739A09F}"/>
    <cellStyle name="Įprastas 5 2 2 2 2 2 2 3 3" xfId="1351" xr:uid="{1676DDAE-50E4-4524-A558-B3E854440924}"/>
    <cellStyle name="Įprastas 5 2 2 2 2 2 2 3 4" xfId="2646" xr:uid="{B045C04E-E44B-4DAB-996C-A0BEC0D43415}"/>
    <cellStyle name="Įprastas 5 2 2 2 2 2 2 3_8 priedas" xfId="1284" xr:uid="{00000000-0005-0000-0000-000022000000}"/>
    <cellStyle name="Įprastas 5 2 2 2 2 2 2 4" xfId="568" xr:uid="{00000000-0005-0000-0000-000023000000}"/>
    <cellStyle name="Įprastas 5 2 2 2 2 2 2 4 2" xfId="1353" xr:uid="{49DB0A82-B1F9-40E5-AC35-54532A04314D}"/>
    <cellStyle name="Įprastas 5 2 2 2 2 2 2 4 3" xfId="3152" xr:uid="{C5B301DA-6AFC-42CE-A4EA-ABA175805A43}"/>
    <cellStyle name="Įprastas 5 2 2 2 2 2 2 4_Lapas1" xfId="1352" xr:uid="{8BD196A1-E98A-4D0A-807B-E145BB8CA4AC}"/>
    <cellStyle name="Įprastas 5 2 2 2 2 2 2 5" xfId="1354" xr:uid="{F90CA1C5-6C1A-452B-BF8B-C4E79F334C47}"/>
    <cellStyle name="Įprastas 5 2 2 2 2 2 2 6" xfId="2644" xr:uid="{812E5B6E-D0DF-4346-BE13-2CED5B10BCE5}"/>
    <cellStyle name="Įprastas 5 2 2 2 2 2 2_8 priedas" xfId="1194" xr:uid="{00000000-0005-0000-0000-000024000000}"/>
    <cellStyle name="Įprastas 5 2 2 2 2 2 3" xfId="43" xr:uid="{00000000-0005-0000-0000-000025000000}"/>
    <cellStyle name="Įprastas 5 2 2 2 2 2 3 2" xfId="44" xr:uid="{00000000-0005-0000-0000-000026000000}"/>
    <cellStyle name="Įprastas 5 2 2 2 2 2 3 2 2" xfId="760" xr:uid="{00000000-0005-0000-0000-000027000000}"/>
    <cellStyle name="Įprastas 5 2 2 2 2 2 3 2 2 2" xfId="1356" xr:uid="{4E78A080-E0FA-452B-9D9E-5887D2E78C40}"/>
    <cellStyle name="Įprastas 5 2 2 2 2 2 3 2 2 3" xfId="3344" xr:uid="{01695C18-46D6-45A8-B0A8-25E16FFD9824}"/>
    <cellStyle name="Įprastas 5 2 2 2 2 2 3 2 2_Lapas1" xfId="1355" xr:uid="{1C9FBBAE-4A33-4F54-9930-2A8168041815}"/>
    <cellStyle name="Įprastas 5 2 2 2 2 2 3 2 3" xfId="1357" xr:uid="{31702AAF-2136-4A26-A5C3-500CC1BC968E}"/>
    <cellStyle name="Įprastas 5 2 2 2 2 2 3 2 4" xfId="2648" xr:uid="{7F42F273-A399-4479-95D1-4353A1DC4844}"/>
    <cellStyle name="Įprastas 5 2 2 2 2 2 3 2_8 priedas" xfId="1012" xr:uid="{00000000-0005-0000-0000-000028000000}"/>
    <cellStyle name="Įprastas 5 2 2 2 2 2 3 3" xfId="45" xr:uid="{00000000-0005-0000-0000-000029000000}"/>
    <cellStyle name="Įprastas 5 2 2 2 2 2 3 3 2" xfId="904" xr:uid="{00000000-0005-0000-0000-00002A000000}"/>
    <cellStyle name="Įprastas 5 2 2 2 2 2 3 3 2 2" xfId="1359" xr:uid="{50AD1FF2-C445-422B-8948-1EF2D62C2B77}"/>
    <cellStyle name="Įprastas 5 2 2 2 2 2 3 3 2 3" xfId="3488" xr:uid="{F09F23AE-6787-4E27-A59D-ED7611724CC1}"/>
    <cellStyle name="Įprastas 5 2 2 2 2 2 3 3 2_Lapas1" xfId="1358" xr:uid="{2C7B6AB1-C68C-4ED7-ABBC-5A4448297322}"/>
    <cellStyle name="Įprastas 5 2 2 2 2 2 3 3 3" xfId="1360" xr:uid="{4D4A6C8E-876C-4303-AEE2-60DACC800297}"/>
    <cellStyle name="Įprastas 5 2 2 2 2 2 3 3 4" xfId="2649" xr:uid="{FAA24DCA-B536-41A8-9A2B-6F23D306346D}"/>
    <cellStyle name="Įprastas 5 2 2 2 2 2 3 3_8 priedas" xfId="1238" xr:uid="{00000000-0005-0000-0000-00002B000000}"/>
    <cellStyle name="Įprastas 5 2 2 2 2 2 3 4" xfId="616" xr:uid="{00000000-0005-0000-0000-00002C000000}"/>
    <cellStyle name="Įprastas 5 2 2 2 2 2 3 4 2" xfId="1362" xr:uid="{0678B2A0-8F9F-43F6-9532-F69130CEF718}"/>
    <cellStyle name="Įprastas 5 2 2 2 2 2 3 4 3" xfId="3200" xr:uid="{6E8163D2-3ECB-4845-8173-46B44B0F5020}"/>
    <cellStyle name="Įprastas 5 2 2 2 2 2 3 4_Lapas1" xfId="1361" xr:uid="{F0D975D1-1277-4AC2-84D3-C951463A0259}"/>
    <cellStyle name="Įprastas 5 2 2 2 2 2 3 5" xfId="1363" xr:uid="{6E409410-798D-414C-9DF5-09250CCE69F2}"/>
    <cellStyle name="Įprastas 5 2 2 2 2 2 3 6" xfId="2647" xr:uid="{1F90C98D-F655-42E3-BB2F-5D50B9011B97}"/>
    <cellStyle name="Įprastas 5 2 2 2 2 2 3_8 priedas" xfId="1148" xr:uid="{00000000-0005-0000-0000-00002D000000}"/>
    <cellStyle name="Įprastas 5 2 2 2 2 2 4" xfId="46" xr:uid="{00000000-0005-0000-0000-00002E000000}"/>
    <cellStyle name="Įprastas 5 2 2 2 2 2 4 2" xfId="664" xr:uid="{00000000-0005-0000-0000-00002F000000}"/>
    <cellStyle name="Įprastas 5 2 2 2 2 2 4 2 2" xfId="1365" xr:uid="{4E4DD3AB-7DC6-4AC9-8E6B-E9DF4392103F}"/>
    <cellStyle name="Įprastas 5 2 2 2 2 2 4 2 3" xfId="3248" xr:uid="{76000306-42F7-4F17-AC05-AEFB3A17B8C6}"/>
    <cellStyle name="Įprastas 5 2 2 2 2 2 4 2_Lapas1" xfId="1364" xr:uid="{46E292B5-6B58-45AB-83D2-F59FA11D6D7C}"/>
    <cellStyle name="Įprastas 5 2 2 2 2 2 4 3" xfId="1366" xr:uid="{A3F3B42E-8A96-4834-A77F-D12D8F79BB58}"/>
    <cellStyle name="Įprastas 5 2 2 2 2 2 4 4" xfId="2650" xr:uid="{6CFEC082-AFFC-4921-BB46-B9D15FC832B0}"/>
    <cellStyle name="Įprastas 5 2 2 2 2 2 4_8 priedas" xfId="1108" xr:uid="{00000000-0005-0000-0000-000030000000}"/>
    <cellStyle name="Įprastas 5 2 2 2 2 2 5" xfId="47" xr:uid="{00000000-0005-0000-0000-000031000000}"/>
    <cellStyle name="Įprastas 5 2 2 2 2 2 5 2" xfId="808" xr:uid="{00000000-0005-0000-0000-000032000000}"/>
    <cellStyle name="Įprastas 5 2 2 2 2 2 5 2 2" xfId="1368" xr:uid="{11292E09-0BBE-41DA-B526-ED54322F3ACF}"/>
    <cellStyle name="Įprastas 5 2 2 2 2 2 5 2 3" xfId="3392" xr:uid="{F44A2CDE-0F8F-4A06-A964-9F4BB39CD739}"/>
    <cellStyle name="Įprastas 5 2 2 2 2 2 5 2_Lapas1" xfId="1367" xr:uid="{CA6248F7-7576-4D36-9148-568B1653803F}"/>
    <cellStyle name="Įprastas 5 2 2 2 2 2 5 3" xfId="1369" xr:uid="{BE989FB2-A18B-4691-9ABA-A94C7BC943BE}"/>
    <cellStyle name="Įprastas 5 2 2 2 2 2 5 4" xfId="2651" xr:uid="{9D3EBF6F-4AEC-48AD-8D64-0A246533EB22}"/>
    <cellStyle name="Įprastas 5 2 2 2 2 2 5_8 priedas" xfId="971" xr:uid="{00000000-0005-0000-0000-000033000000}"/>
    <cellStyle name="Įprastas 5 2 2 2 2 2 6" xfId="520" xr:uid="{00000000-0005-0000-0000-000034000000}"/>
    <cellStyle name="Įprastas 5 2 2 2 2 2 6 2" xfId="1371" xr:uid="{C7024B43-2158-43FF-AB8C-ED8D074793E7}"/>
    <cellStyle name="Įprastas 5 2 2 2 2 2 6 3" xfId="3104" xr:uid="{8BF97EE1-F6DF-440D-8E1D-8BF0C5476613}"/>
    <cellStyle name="Įprastas 5 2 2 2 2 2 6_Lapas1" xfId="1370" xr:uid="{7CE96FE3-C4A9-4583-A9E2-53122607E314}"/>
    <cellStyle name="Įprastas 5 2 2 2 2 2 7" xfId="1372" xr:uid="{359E8D9D-A39A-4706-8957-8151BE46EE2C}"/>
    <cellStyle name="Įprastas 5 2 2 2 2 2 8" xfId="2643" xr:uid="{44D9A150-4289-436A-956E-61E072B71B9A}"/>
    <cellStyle name="Įprastas 5 2 2 2 2 2_8 priedas" xfId="912" xr:uid="{00000000-0005-0000-0000-000035000000}"/>
    <cellStyle name="Įprastas 5 2 2 2 2 3" xfId="48" xr:uid="{00000000-0005-0000-0000-000036000000}"/>
    <cellStyle name="Įprastas 5 2 2 2 2 3 2" xfId="49" xr:uid="{00000000-0005-0000-0000-000037000000}"/>
    <cellStyle name="Įprastas 5 2 2 2 2 3 2 2" xfId="688" xr:uid="{00000000-0005-0000-0000-000038000000}"/>
    <cellStyle name="Įprastas 5 2 2 2 2 3 2 2 2" xfId="1374" xr:uid="{9BDC197F-CCF2-40CA-96BE-171DF74113D2}"/>
    <cellStyle name="Įprastas 5 2 2 2 2 3 2 2 3" xfId="3272" xr:uid="{3B80D6A0-E1EC-4C9B-B222-55A8921BE4A5}"/>
    <cellStyle name="Įprastas 5 2 2 2 2 3 2 2_Lapas1" xfId="1373" xr:uid="{BF9FB30A-88DC-4F39-8704-51000346B25B}"/>
    <cellStyle name="Įprastas 5 2 2 2 2 3 2 3" xfId="1375" xr:uid="{FE964B3C-1AFE-4239-9D40-4FC8801AE5F1}"/>
    <cellStyle name="Įprastas 5 2 2 2 2 3 2 4" xfId="2653" xr:uid="{EC9B91FA-F776-473C-8BBD-507B47268A10}"/>
    <cellStyle name="Įprastas 5 2 2 2 2 3 2_8 priedas" xfId="924" xr:uid="{00000000-0005-0000-0000-000039000000}"/>
    <cellStyle name="Įprastas 5 2 2 2 2 3 3" xfId="50" xr:uid="{00000000-0005-0000-0000-00003A000000}"/>
    <cellStyle name="Įprastas 5 2 2 2 2 3 3 2" xfId="832" xr:uid="{00000000-0005-0000-0000-00003B000000}"/>
    <cellStyle name="Įprastas 5 2 2 2 2 3 3 2 2" xfId="1377" xr:uid="{D3D3A7C8-5181-40C6-8D4B-78A9E3ECCF57}"/>
    <cellStyle name="Įprastas 5 2 2 2 2 3 3 2 3" xfId="3416" xr:uid="{5C5601E8-73D0-4E08-86F1-C8920CDEE030}"/>
    <cellStyle name="Įprastas 5 2 2 2 2 3 3 2_Lapas1" xfId="1376" xr:uid="{31598913-FBD9-4DDE-A82B-72FA581129B4}"/>
    <cellStyle name="Įprastas 5 2 2 2 2 3 3 3" xfId="1378" xr:uid="{37794E0C-49C6-46AD-8B56-4543FF4E405E}"/>
    <cellStyle name="Įprastas 5 2 2 2 2 3 3 4" xfId="2654" xr:uid="{19D7E99D-FD38-47D3-9091-F6FE2F455ABD}"/>
    <cellStyle name="Įprastas 5 2 2 2 2 3 3_8 priedas" xfId="923" xr:uid="{00000000-0005-0000-0000-00003C000000}"/>
    <cellStyle name="Įprastas 5 2 2 2 2 3 4" xfId="544" xr:uid="{00000000-0005-0000-0000-00003D000000}"/>
    <cellStyle name="Įprastas 5 2 2 2 2 3 4 2" xfId="1380" xr:uid="{F3BC206F-B4B2-49C4-A7B6-65C213BB33DB}"/>
    <cellStyle name="Įprastas 5 2 2 2 2 3 4 3" xfId="3128" xr:uid="{84FA84E4-A4B6-4B5A-8769-B6730FDAEA5E}"/>
    <cellStyle name="Įprastas 5 2 2 2 2 3 4_Lapas1" xfId="1379" xr:uid="{98DAA67F-229E-4819-8BFB-6EF07128F1C2}"/>
    <cellStyle name="Įprastas 5 2 2 2 2 3 5" xfId="1381" xr:uid="{5A267ACB-55FE-4213-9A63-33985081C884}"/>
    <cellStyle name="Įprastas 5 2 2 2 2 3 6" xfId="2652" xr:uid="{32D56E10-5616-4DF7-B6E8-CF02ED5AB865}"/>
    <cellStyle name="Įprastas 5 2 2 2 2 3_8 priedas" xfId="911" xr:uid="{00000000-0005-0000-0000-00003E000000}"/>
    <cellStyle name="Įprastas 5 2 2 2 2 4" xfId="51" xr:uid="{00000000-0005-0000-0000-00003F000000}"/>
    <cellStyle name="Įprastas 5 2 2 2 2 4 2" xfId="52" xr:uid="{00000000-0005-0000-0000-000040000000}"/>
    <cellStyle name="Įprastas 5 2 2 2 2 4 2 2" xfId="736" xr:uid="{00000000-0005-0000-0000-000041000000}"/>
    <cellStyle name="Įprastas 5 2 2 2 2 4 2 2 2" xfId="1383" xr:uid="{A2E207AB-0C5C-4636-B6B7-1B235EAEA865}"/>
    <cellStyle name="Įprastas 5 2 2 2 2 4 2 2 3" xfId="3320" xr:uid="{C1C7C41A-8BDB-4C8D-ACEE-6BEE51AAF20C}"/>
    <cellStyle name="Įprastas 5 2 2 2 2 4 2 2_Lapas1" xfId="1382" xr:uid="{F1A61C67-E992-4A0E-8D1C-BF036D5BA43F}"/>
    <cellStyle name="Įprastas 5 2 2 2 2 4 2 3" xfId="1384" xr:uid="{660DDFD3-130F-4955-BF9D-685AA1937D4C}"/>
    <cellStyle name="Įprastas 5 2 2 2 2 4 2 4" xfId="2656" xr:uid="{A5052E37-D913-429F-83CB-F6CA91F0668B}"/>
    <cellStyle name="Įprastas 5 2 2 2 2 4 2_8 priedas" xfId="1278" xr:uid="{00000000-0005-0000-0000-000042000000}"/>
    <cellStyle name="Įprastas 5 2 2 2 2 4 3" xfId="53" xr:uid="{00000000-0005-0000-0000-000043000000}"/>
    <cellStyle name="Įprastas 5 2 2 2 2 4 3 2" xfId="880" xr:uid="{00000000-0005-0000-0000-000044000000}"/>
    <cellStyle name="Įprastas 5 2 2 2 2 4 3 2 2" xfId="1386" xr:uid="{C5B22AF4-4022-4568-9048-A03B769BEC83}"/>
    <cellStyle name="Įprastas 5 2 2 2 2 4 3 2 3" xfId="3464" xr:uid="{DA233440-804B-4A35-A601-56117A504354}"/>
    <cellStyle name="Įprastas 5 2 2 2 2 4 3 2_Lapas1" xfId="1385" xr:uid="{AB9724D7-7EF4-420B-8342-CC771AFB1226}"/>
    <cellStyle name="Įprastas 5 2 2 2 2 4 3 3" xfId="1387" xr:uid="{8755BC2E-27DC-4F51-8BDD-F51C8E409893}"/>
    <cellStyle name="Įprastas 5 2 2 2 2 4 3 4" xfId="2657" xr:uid="{B021073D-CD8D-49BA-BCD6-084174D5AAF4}"/>
    <cellStyle name="Įprastas 5 2 2 2 2 4 3_8 priedas" xfId="1142" xr:uid="{00000000-0005-0000-0000-000045000000}"/>
    <cellStyle name="Įprastas 5 2 2 2 2 4 4" xfId="592" xr:uid="{00000000-0005-0000-0000-000046000000}"/>
    <cellStyle name="Įprastas 5 2 2 2 2 4 4 2" xfId="1389" xr:uid="{B96C0B42-BB71-437A-BA50-4437031B5A05}"/>
    <cellStyle name="Įprastas 5 2 2 2 2 4 4 3" xfId="3176" xr:uid="{73F91A7E-7A74-4BF0-B70B-AFA49E52D015}"/>
    <cellStyle name="Įprastas 5 2 2 2 2 4 4_Lapas1" xfId="1388" xr:uid="{30B4877E-E1BF-4DFD-9602-8321813CD942}"/>
    <cellStyle name="Įprastas 5 2 2 2 2 4 5" xfId="1390" xr:uid="{D0303D19-A05E-4DDB-B43F-DD03D763A52A}"/>
    <cellStyle name="Įprastas 5 2 2 2 2 4 6" xfId="2655" xr:uid="{32196DC4-6647-4E4F-B5DA-6EABF7E2C744}"/>
    <cellStyle name="Įprastas 5 2 2 2 2 4_8 priedas" xfId="907" xr:uid="{00000000-0005-0000-0000-000047000000}"/>
    <cellStyle name="Įprastas 5 2 2 2 2 5" xfId="54" xr:uid="{00000000-0005-0000-0000-000048000000}"/>
    <cellStyle name="Įprastas 5 2 2 2 2 5 2" xfId="640" xr:uid="{00000000-0005-0000-0000-000049000000}"/>
    <cellStyle name="Įprastas 5 2 2 2 2 5 2 2" xfId="1392" xr:uid="{7E4FCAF5-AE67-4609-AFF6-650590B73CBD}"/>
    <cellStyle name="Įprastas 5 2 2 2 2 5 2 3" xfId="3224" xr:uid="{BA53EF97-401C-43D8-BC49-371CD1F38AEC}"/>
    <cellStyle name="Įprastas 5 2 2 2 2 5 2_Lapas1" xfId="1391" xr:uid="{534BF10C-1EB1-435C-BB4B-C4C4C0C772D8}"/>
    <cellStyle name="Įprastas 5 2 2 2 2 5 3" xfId="1393" xr:uid="{921D0E4C-DD09-4589-9BD5-400E78467B6E}"/>
    <cellStyle name="Įprastas 5 2 2 2 2 5 4" xfId="2658" xr:uid="{A660C256-07EE-4B19-B1B0-49DA4C10B4B7}"/>
    <cellStyle name="Įprastas 5 2 2 2 2 5_8 priedas" xfId="1006" xr:uid="{00000000-0005-0000-0000-00004A000000}"/>
    <cellStyle name="Įprastas 5 2 2 2 2 6" xfId="55" xr:uid="{00000000-0005-0000-0000-00004B000000}"/>
    <cellStyle name="Įprastas 5 2 2 2 2 6 2" xfId="784" xr:uid="{00000000-0005-0000-0000-00004C000000}"/>
    <cellStyle name="Įprastas 5 2 2 2 2 6 2 2" xfId="1395" xr:uid="{0CCDC5B1-24C4-4D82-9DB2-E3CC6112CF31}"/>
    <cellStyle name="Įprastas 5 2 2 2 2 6 2 3" xfId="3368" xr:uid="{4A88AACE-6B1B-41A1-BA5E-8765431E1FBB}"/>
    <cellStyle name="Įprastas 5 2 2 2 2 6 2_Lapas1" xfId="1394" xr:uid="{A2D522EE-75C7-48CE-899F-17CED73D9BC3}"/>
    <cellStyle name="Įprastas 5 2 2 2 2 6 3" xfId="1396" xr:uid="{572CEFE5-BD75-47AD-AF34-15FD2597933C}"/>
    <cellStyle name="Įprastas 5 2 2 2 2 6 4" xfId="2659" xr:uid="{1F1FF628-D529-4BBF-B500-504CDF8E45EB}"/>
    <cellStyle name="Įprastas 5 2 2 2 2 6_8 priedas" xfId="1232" xr:uid="{00000000-0005-0000-0000-00004D000000}"/>
    <cellStyle name="Įprastas 5 2 2 2 2 7" xfId="496" xr:uid="{00000000-0005-0000-0000-00004E000000}"/>
    <cellStyle name="Įprastas 5 2 2 2 2 7 2" xfId="1398" xr:uid="{74DB1EF4-DA0A-4174-B300-A2A123C919CA}"/>
    <cellStyle name="Įprastas 5 2 2 2 2 7 3" xfId="3080" xr:uid="{B1EC6FB4-7C2E-4197-BE2C-6ADCDA14A899}"/>
    <cellStyle name="Įprastas 5 2 2 2 2 7_Lapas1" xfId="1397" xr:uid="{E0C7D5BA-34B2-4112-9B8C-61DED9C9779E}"/>
    <cellStyle name="Įprastas 5 2 2 2 2 8" xfId="1399" xr:uid="{43AFB09C-5110-4808-98DB-131FBCFADD64}"/>
    <cellStyle name="Įprastas 5 2 2 2 2 9" xfId="2642" xr:uid="{F4E81F82-2F28-469E-99C8-107A8F69603D}"/>
    <cellStyle name="Įprastas 5 2 2 2 2_8 priedas" xfId="972" xr:uid="{00000000-0005-0000-0000-00004F000000}"/>
    <cellStyle name="Įprastas 5 2 2 2 3" xfId="56" xr:uid="{00000000-0005-0000-0000-000050000000}"/>
    <cellStyle name="Įprastas 5 2 2 2 3 2" xfId="57" xr:uid="{00000000-0005-0000-0000-000051000000}"/>
    <cellStyle name="Įprastas 5 2 2 2 3 2 2" xfId="58" xr:uid="{00000000-0005-0000-0000-000052000000}"/>
    <cellStyle name="Įprastas 5 2 2 2 3 2 2 2" xfId="700" xr:uid="{00000000-0005-0000-0000-000053000000}"/>
    <cellStyle name="Įprastas 5 2 2 2 3 2 2 2 2" xfId="1401" xr:uid="{C73D19A5-ACF3-497B-9BD0-55D67384A569}"/>
    <cellStyle name="Įprastas 5 2 2 2 3 2 2 2 3" xfId="3284" xr:uid="{FE733E6A-6CCD-4E62-8646-524016E7B3B6}"/>
    <cellStyle name="Įprastas 5 2 2 2 3 2 2 2_Lapas1" xfId="1400" xr:uid="{B0103251-AB30-49E0-ABAE-30212164F022}"/>
    <cellStyle name="Įprastas 5 2 2 2 3 2 2 3" xfId="1402" xr:uid="{AFA0E8C7-A7EB-4715-9B45-8D7AC0582D1E}"/>
    <cellStyle name="Įprastas 5 2 2 2 3 2 2 4" xfId="2662" xr:uid="{66A36882-93DB-4E8A-9EB2-FA41077A965E}"/>
    <cellStyle name="Įprastas 5 2 2 2 3 2 2_8 priedas" xfId="1213" xr:uid="{00000000-0005-0000-0000-000054000000}"/>
    <cellStyle name="Įprastas 5 2 2 2 3 2 3" xfId="59" xr:uid="{00000000-0005-0000-0000-000055000000}"/>
    <cellStyle name="Įprastas 5 2 2 2 3 2 3 2" xfId="844" xr:uid="{00000000-0005-0000-0000-000056000000}"/>
    <cellStyle name="Įprastas 5 2 2 2 3 2 3 2 2" xfId="1404" xr:uid="{0E60FA9E-6E5B-4541-A1CC-E4FE527ECF9B}"/>
    <cellStyle name="Įprastas 5 2 2 2 3 2 3 2 3" xfId="3428" xr:uid="{C91B192C-B204-4F23-A05D-1D8C90A7C16D}"/>
    <cellStyle name="Įprastas 5 2 2 2 3 2 3 2_Lapas1" xfId="1403" xr:uid="{713F0643-3BE6-4F13-A15E-92956D3668AA}"/>
    <cellStyle name="Įprastas 5 2 2 2 3 2 3 3" xfId="1405" xr:uid="{9D922830-81B3-48AE-9C7F-8CB4FCB37B8B}"/>
    <cellStyle name="Įprastas 5 2 2 2 3 2 3 4" xfId="2663" xr:uid="{27F820CE-792B-40F1-8C8E-50518010B0EA}"/>
    <cellStyle name="Įprastas 5 2 2 2 3 2 3_8 priedas" xfId="1079" xr:uid="{00000000-0005-0000-0000-000057000000}"/>
    <cellStyle name="Įprastas 5 2 2 2 3 2 4" xfId="556" xr:uid="{00000000-0005-0000-0000-000058000000}"/>
    <cellStyle name="Įprastas 5 2 2 2 3 2 4 2" xfId="1407" xr:uid="{34E922FF-8A19-4A20-9AC7-5E02177429DC}"/>
    <cellStyle name="Įprastas 5 2 2 2 3 2 4 3" xfId="3140" xr:uid="{36D3FD64-B2B1-4F08-BC2D-9A7E3528A54C}"/>
    <cellStyle name="Įprastas 5 2 2 2 3 2 4_Lapas1" xfId="1406" xr:uid="{35003AB6-0B68-4508-8A2E-BD74A4882EEE}"/>
    <cellStyle name="Įprastas 5 2 2 2 3 2 5" xfId="1408" xr:uid="{774D29C0-83EB-4501-9274-C99DFC083293}"/>
    <cellStyle name="Įprastas 5 2 2 2 3 2 6" xfId="2661" xr:uid="{EADB69B8-3594-4093-9B47-F2E42B9C7797}"/>
    <cellStyle name="Įprastas 5 2 2 2 3 2_8 priedas" xfId="965" xr:uid="{00000000-0005-0000-0000-000059000000}"/>
    <cellStyle name="Įprastas 5 2 2 2 3 3" xfId="60" xr:uid="{00000000-0005-0000-0000-00005A000000}"/>
    <cellStyle name="Įprastas 5 2 2 2 3 3 2" xfId="61" xr:uid="{00000000-0005-0000-0000-00005B000000}"/>
    <cellStyle name="Įprastas 5 2 2 2 3 3 2 2" xfId="748" xr:uid="{00000000-0005-0000-0000-00005C000000}"/>
    <cellStyle name="Įprastas 5 2 2 2 3 3 2 2 2" xfId="1410" xr:uid="{4EB14768-F61B-4C4C-A1D7-977E57E4FCDA}"/>
    <cellStyle name="Įprastas 5 2 2 2 3 3 2 2 3" xfId="3332" xr:uid="{9874B6F2-842D-4D22-9B8A-F1FF876328CA}"/>
    <cellStyle name="Įprastas 5 2 2 2 3 3 2 2_Lapas1" xfId="1409" xr:uid="{4353A759-B731-4F6B-A79A-8561A3596225}"/>
    <cellStyle name="Įprastas 5 2 2 2 3 3 2 3" xfId="1411" xr:uid="{D0749B82-6198-4968-9AE8-6C3245080CCF}"/>
    <cellStyle name="Įprastas 5 2 2 2 3 3 2 4" xfId="2665" xr:uid="{E063BC2E-9836-4860-92A4-54B5802FA159}"/>
    <cellStyle name="Įprastas 5 2 2 2 3 3 2_8 priedas" xfId="1167" xr:uid="{00000000-0005-0000-0000-00005D000000}"/>
    <cellStyle name="Įprastas 5 2 2 2 3 3 3" xfId="62" xr:uid="{00000000-0005-0000-0000-00005E000000}"/>
    <cellStyle name="Įprastas 5 2 2 2 3 3 3 2" xfId="892" xr:uid="{00000000-0005-0000-0000-00005F000000}"/>
    <cellStyle name="Įprastas 5 2 2 2 3 3 3 2 2" xfId="1413" xr:uid="{B4B4D6F1-0BD5-4A37-81C4-B141A6D5ADCC}"/>
    <cellStyle name="Įprastas 5 2 2 2 3 3 3 2 3" xfId="3476" xr:uid="{701EF057-CE5C-45EE-9F62-8B162D2EFCAE}"/>
    <cellStyle name="Įprastas 5 2 2 2 3 3 3 2_Lapas1" xfId="1412" xr:uid="{97DA9E61-9D4E-4CAF-AAF4-0B5655277D07}"/>
    <cellStyle name="Įprastas 5 2 2 2 3 3 3 3" xfId="1414" xr:uid="{CBE12C69-8DD1-46E0-9143-4B1AEC23B139}"/>
    <cellStyle name="Įprastas 5 2 2 2 3 3 3 4" xfId="2666" xr:uid="{FBF7651C-F9BD-4F29-ADF3-BA8860A25874}"/>
    <cellStyle name="Įprastas 5 2 2 2 3 3 3_8 priedas" xfId="1031" xr:uid="{00000000-0005-0000-0000-000060000000}"/>
    <cellStyle name="Įprastas 5 2 2 2 3 3 4" xfId="604" xr:uid="{00000000-0005-0000-0000-000061000000}"/>
    <cellStyle name="Įprastas 5 2 2 2 3 3 4 2" xfId="1416" xr:uid="{0387D664-9CC7-4989-BE89-052A4A0F5F13}"/>
    <cellStyle name="Įprastas 5 2 2 2 3 3 4 3" xfId="3188" xr:uid="{8AC1CB36-D4D8-4144-9930-E5910500DA5A}"/>
    <cellStyle name="Įprastas 5 2 2 2 3 3 4_Lapas1" xfId="1415" xr:uid="{7FD06A87-BD91-493C-8B56-E83A634B9247}"/>
    <cellStyle name="Įprastas 5 2 2 2 3 3 5" xfId="1417" xr:uid="{0574A32A-EB3F-4E53-A0A3-5438B655B32F}"/>
    <cellStyle name="Įprastas 5 2 2 2 3 3 6" xfId="2664" xr:uid="{94A75870-97B9-4248-AEFB-7031355813A5}"/>
    <cellStyle name="Įprastas 5 2 2 2 3 3_8 priedas" xfId="1304" xr:uid="{00000000-0005-0000-0000-000062000000}"/>
    <cellStyle name="Įprastas 5 2 2 2 3 4" xfId="63" xr:uid="{00000000-0005-0000-0000-000063000000}"/>
    <cellStyle name="Įprastas 5 2 2 2 3 4 2" xfId="652" xr:uid="{00000000-0005-0000-0000-000064000000}"/>
    <cellStyle name="Įprastas 5 2 2 2 3 4 2 2" xfId="1419" xr:uid="{8C4386B1-087B-4447-9D3E-61081DD695DD}"/>
    <cellStyle name="Įprastas 5 2 2 2 3 4 2 3" xfId="3236" xr:uid="{21E2C33B-EBED-4694-B2B7-7CE68B56D9AE}"/>
    <cellStyle name="Įprastas 5 2 2 2 3 4 2_Lapas1" xfId="1418" xr:uid="{70A1A3FC-308E-4734-B989-BFD8DEBA803F}"/>
    <cellStyle name="Įprastas 5 2 2 2 3 4 3" xfId="1420" xr:uid="{03D6B7A4-BDB5-494A-B143-39D490A515EA}"/>
    <cellStyle name="Įprastas 5 2 2 2 3 4 4" xfId="2667" xr:uid="{9331BC62-4BE8-4A4F-9EAD-D33FAEE6201D}"/>
    <cellStyle name="Įprastas 5 2 2 2 3 4_8 priedas" xfId="1255" xr:uid="{00000000-0005-0000-0000-000065000000}"/>
    <cellStyle name="Įprastas 5 2 2 2 3 5" xfId="64" xr:uid="{00000000-0005-0000-0000-000066000000}"/>
    <cellStyle name="Įprastas 5 2 2 2 3 5 2" xfId="796" xr:uid="{00000000-0005-0000-0000-000067000000}"/>
    <cellStyle name="Įprastas 5 2 2 2 3 5 2 2" xfId="1422" xr:uid="{5F674B7E-BD4D-4F87-AC46-197F0F2EB129}"/>
    <cellStyle name="Įprastas 5 2 2 2 3 5 2 3" xfId="3380" xr:uid="{246EA73E-4CFC-42D1-B595-2CD5D7D2A8B7}"/>
    <cellStyle name="Įprastas 5 2 2 2 3 5 2_Lapas1" xfId="1421" xr:uid="{CC4A646E-4391-4E27-8DAC-1D0F6F4F1F4C}"/>
    <cellStyle name="Įprastas 5 2 2 2 3 5 3" xfId="1423" xr:uid="{14253B4C-6ACE-4DBF-9737-662E256E4CD9}"/>
    <cellStyle name="Įprastas 5 2 2 2 3 5 4" xfId="2668" xr:uid="{128F2A67-1296-4436-8E0B-3225561ED4E5}"/>
    <cellStyle name="Įprastas 5 2 2 2 3 5_8 priedas" xfId="1119" xr:uid="{00000000-0005-0000-0000-000068000000}"/>
    <cellStyle name="Įprastas 5 2 2 2 3 6" xfId="508" xr:uid="{00000000-0005-0000-0000-000069000000}"/>
    <cellStyle name="Įprastas 5 2 2 2 3 6 2" xfId="1425" xr:uid="{A8BA1D55-1218-4DEE-A322-AC3617BD1FAF}"/>
    <cellStyle name="Įprastas 5 2 2 2 3 6 3" xfId="3092" xr:uid="{D1AAA514-8834-4703-8EBA-4478A95FED79}"/>
    <cellStyle name="Įprastas 5 2 2 2 3 6_Lapas1" xfId="1424" xr:uid="{48020995-1047-4889-92EB-DD6215E9CE7A}"/>
    <cellStyle name="Įprastas 5 2 2 2 3 7" xfId="1426" xr:uid="{25D09501-92ED-40FC-A838-9BAEC0515F96}"/>
    <cellStyle name="Įprastas 5 2 2 2 3 8" xfId="2660" xr:uid="{6E425B2B-5EB2-4C56-B4F8-6DD9F9435BB8}"/>
    <cellStyle name="Įprastas 5 2 2 2 3_8 priedas" xfId="1102" xr:uid="{00000000-0005-0000-0000-00006A000000}"/>
    <cellStyle name="Įprastas 5 2 2 2 4" xfId="65" xr:uid="{00000000-0005-0000-0000-00006B000000}"/>
    <cellStyle name="Įprastas 5 2 2 2 4 2" xfId="66" xr:uid="{00000000-0005-0000-0000-00006C000000}"/>
    <cellStyle name="Įprastas 5 2 2 2 4 2 2" xfId="676" xr:uid="{00000000-0005-0000-0000-00006D000000}"/>
    <cellStyle name="Įprastas 5 2 2 2 4 2 2 2" xfId="1428" xr:uid="{1B3A77E3-3F10-4A58-84D3-4942F35D0085}"/>
    <cellStyle name="Įprastas 5 2 2 2 4 2 2 3" xfId="3260" xr:uid="{309A2EB9-658C-41EC-BD90-311516A4422F}"/>
    <cellStyle name="Įprastas 5 2 2 2 4 2 2_Lapas1" xfId="1427" xr:uid="{DF42AB7E-3B94-43F6-92E4-B67703DEB6C1}"/>
    <cellStyle name="Įprastas 5 2 2 2 4 2 3" xfId="1429" xr:uid="{935A5489-C798-4CF5-9BA0-15BEC6A2AE0E}"/>
    <cellStyle name="Įprastas 5 2 2 2 4 2 4" xfId="2670" xr:uid="{A2BFA64E-5398-443E-958C-6AB9B59EAFBE}"/>
    <cellStyle name="Įprastas 5 2 2 2 4 2_8 priedas" xfId="942" xr:uid="{00000000-0005-0000-0000-00006E000000}"/>
    <cellStyle name="Įprastas 5 2 2 2 4 3" xfId="67" xr:uid="{00000000-0005-0000-0000-00006F000000}"/>
    <cellStyle name="Įprastas 5 2 2 2 4 3 2" xfId="820" xr:uid="{00000000-0005-0000-0000-000070000000}"/>
    <cellStyle name="Įprastas 5 2 2 2 4 3 2 2" xfId="1431" xr:uid="{76A8F43E-1F17-4FF9-9786-D2DB8B15CBA9}"/>
    <cellStyle name="Įprastas 5 2 2 2 4 3 2 3" xfId="3404" xr:uid="{73F4FE8B-4239-4D07-9561-DBC819FEEC83}"/>
    <cellStyle name="Įprastas 5 2 2 2 4 3 2_Lapas1" xfId="1430" xr:uid="{1FE99D97-542E-442A-84DD-4A1BEDD46029}"/>
    <cellStyle name="Įprastas 5 2 2 2 4 3 3" xfId="1432" xr:uid="{19173A7E-A0D2-451B-9CEE-63371A9B5249}"/>
    <cellStyle name="Įprastas 5 2 2 2 4 3 4" xfId="2671" xr:uid="{A67E186A-F631-48C3-B36F-6D7DE2C7C43C}"/>
    <cellStyle name="Įprastas 5 2 2 2 4 3_8 priedas" xfId="1201" xr:uid="{00000000-0005-0000-0000-000071000000}"/>
    <cellStyle name="Įprastas 5 2 2 2 4 4" xfId="532" xr:uid="{00000000-0005-0000-0000-000072000000}"/>
    <cellStyle name="Įprastas 5 2 2 2 4 4 2" xfId="1434" xr:uid="{50EE62A2-EF00-4A40-B937-E6AEB80E17B1}"/>
    <cellStyle name="Įprastas 5 2 2 2 4 4 3" xfId="3116" xr:uid="{FD7CB178-2FE2-4E83-809D-3842E0FD6323}"/>
    <cellStyle name="Įprastas 5 2 2 2 4 4_Lapas1" xfId="1433" xr:uid="{3B35BCF2-AB5C-45EB-AADE-724A16035EDF}"/>
    <cellStyle name="Įprastas 5 2 2 2 4 5" xfId="1435" xr:uid="{565CECF1-2F09-4FFB-8D56-063A3889E320}"/>
    <cellStyle name="Įprastas 5 2 2 2 4 6" xfId="2669" xr:uid="{5CF30EA2-9B57-4F40-8F97-01B7B64965C9}"/>
    <cellStyle name="Įprastas 5 2 2 2 4_8 priedas" xfId="983" xr:uid="{00000000-0005-0000-0000-000073000000}"/>
    <cellStyle name="Įprastas 5 2 2 2 5" xfId="68" xr:uid="{00000000-0005-0000-0000-000074000000}"/>
    <cellStyle name="Įprastas 5 2 2 2 5 2" xfId="69" xr:uid="{00000000-0005-0000-0000-000075000000}"/>
    <cellStyle name="Įprastas 5 2 2 2 5 2 2" xfId="724" xr:uid="{00000000-0005-0000-0000-000076000000}"/>
    <cellStyle name="Įprastas 5 2 2 2 5 2 2 2" xfId="1437" xr:uid="{FF5903A2-8C7A-45E5-A3DC-C527ADB7E5E0}"/>
    <cellStyle name="Įprastas 5 2 2 2 5 2 2 3" xfId="3308" xr:uid="{8D2C03F4-701D-4190-839A-59294D86F822}"/>
    <cellStyle name="Įprastas 5 2 2 2 5 2 2_Lapas1" xfId="1436" xr:uid="{6655EE39-0913-4589-9DDD-EA1B68965437}"/>
    <cellStyle name="Įprastas 5 2 2 2 5 2 3" xfId="1438" xr:uid="{58004AE1-A22B-47AC-B5AB-C3E9E5508DEC}"/>
    <cellStyle name="Įprastas 5 2 2 2 5 2 4" xfId="2673" xr:uid="{EBAB1F6D-2F74-402F-8B18-A59BDD38B608}"/>
    <cellStyle name="Įprastas 5 2 2 2 5 2_8 priedas" xfId="1292" xr:uid="{00000000-0005-0000-0000-000077000000}"/>
    <cellStyle name="Įprastas 5 2 2 2 5 3" xfId="70" xr:uid="{00000000-0005-0000-0000-000078000000}"/>
    <cellStyle name="Įprastas 5 2 2 2 5 3 2" xfId="868" xr:uid="{00000000-0005-0000-0000-000079000000}"/>
    <cellStyle name="Įprastas 5 2 2 2 5 3 2 2" xfId="1440" xr:uid="{C4A947A7-F7EE-418B-9384-28108EE7295F}"/>
    <cellStyle name="Įprastas 5 2 2 2 5 3 2 3" xfId="3452" xr:uid="{A7D1A011-8F4B-49B4-94C7-2083FE8D3520}"/>
    <cellStyle name="Įprastas 5 2 2 2 5 3 2_Lapas1" xfId="1439" xr:uid="{F497B35A-8A30-4CAE-ABFC-D5614190BB1E}"/>
    <cellStyle name="Įprastas 5 2 2 2 5 3 3" xfId="1441" xr:uid="{F48E2993-0184-47C5-A4D7-7A1E9DDA0664}"/>
    <cellStyle name="Įprastas 5 2 2 2 5 3 4" xfId="2674" xr:uid="{8AA74390-F1BF-4191-9A11-6FBD0187F6CD}"/>
    <cellStyle name="Įprastas 5 2 2 2 5 3_8 priedas" xfId="1155" xr:uid="{00000000-0005-0000-0000-00007A000000}"/>
    <cellStyle name="Įprastas 5 2 2 2 5 4" xfId="580" xr:uid="{00000000-0005-0000-0000-00007B000000}"/>
    <cellStyle name="Įprastas 5 2 2 2 5 4 2" xfId="1443" xr:uid="{89444226-3397-4AFC-A260-A468248FF4AA}"/>
    <cellStyle name="Įprastas 5 2 2 2 5 4 3" xfId="3164" xr:uid="{2D0E7AE3-CB4A-44B4-9881-9CFBD48473BF}"/>
    <cellStyle name="Įprastas 5 2 2 2 5 4_Lapas1" xfId="1442" xr:uid="{52AEC26E-0308-45A5-942F-30463330B6C3}"/>
    <cellStyle name="Įprastas 5 2 2 2 5 5" xfId="1444" xr:uid="{66D0A327-C80F-4F28-9BD6-AF79C00A2C81}"/>
    <cellStyle name="Įprastas 5 2 2 2 5 6" xfId="2672" xr:uid="{F346827A-7ACB-4A05-A57A-26A14FACA6C3}"/>
    <cellStyle name="Įprastas 5 2 2 2 5_8 priedas" xfId="1067" xr:uid="{00000000-0005-0000-0000-00007C000000}"/>
    <cellStyle name="Įprastas 5 2 2 2 6" xfId="71" xr:uid="{00000000-0005-0000-0000-00007D000000}"/>
    <cellStyle name="Įprastas 5 2 2 2 6 2" xfId="628" xr:uid="{00000000-0005-0000-0000-00007E000000}"/>
    <cellStyle name="Įprastas 5 2 2 2 6 2 2" xfId="1446" xr:uid="{3A72A6F5-211A-4447-A983-A35241B1CD82}"/>
    <cellStyle name="Įprastas 5 2 2 2 6 2 3" xfId="3212" xr:uid="{7016FB82-F317-4799-BD38-9F0881063603}"/>
    <cellStyle name="Įprastas 5 2 2 2 6 2_Lapas1" xfId="1445" xr:uid="{675C375F-000D-4BC9-BDBF-09DD028BA0EC}"/>
    <cellStyle name="Įprastas 5 2 2 2 6 3" xfId="1447" xr:uid="{08E6FC34-7436-452F-97AF-5159C0CB57DB}"/>
    <cellStyle name="Įprastas 5 2 2 2 6 4" xfId="2675" xr:uid="{E7089CB2-1842-440C-8D13-5652B8E8B3E2}"/>
    <cellStyle name="Įprastas 5 2 2 2 6_8 priedas" xfId="1020" xr:uid="{00000000-0005-0000-0000-00007F000000}"/>
    <cellStyle name="Įprastas 5 2 2 2 7" xfId="72" xr:uid="{00000000-0005-0000-0000-000080000000}"/>
    <cellStyle name="Įprastas 5 2 2 2 7 2" xfId="772" xr:uid="{00000000-0005-0000-0000-000081000000}"/>
    <cellStyle name="Įprastas 5 2 2 2 7 2 2" xfId="1449" xr:uid="{FBA9A42E-F79D-42AC-AA6A-25BB5D7D01B9}"/>
    <cellStyle name="Įprastas 5 2 2 2 7 2 3" xfId="3356" xr:uid="{75B29E68-9E34-406B-919F-6BF8097CB0A5}"/>
    <cellStyle name="Įprastas 5 2 2 2 7 2_Lapas1" xfId="1448" xr:uid="{410AC62F-443D-4213-B97F-2381A462B519}"/>
    <cellStyle name="Įprastas 5 2 2 2 7 3" xfId="1450" xr:uid="{342E1E53-EE1C-4BD2-A504-26290E2CA9DF}"/>
    <cellStyle name="Įprastas 5 2 2 2 7 4" xfId="2676" xr:uid="{B9724553-0911-4E25-913C-08A78E2EAE24}"/>
    <cellStyle name="Įprastas 5 2 2 2 7_8 priedas" xfId="1245" xr:uid="{00000000-0005-0000-0000-000082000000}"/>
    <cellStyle name="Įprastas 5 2 2 2 8" xfId="484" xr:uid="{00000000-0005-0000-0000-000083000000}"/>
    <cellStyle name="Įprastas 5 2 2 2 8 2" xfId="1452" xr:uid="{FE8758C2-B9E6-4269-954D-761B270E6749}"/>
    <cellStyle name="Įprastas 5 2 2 2 8 3" xfId="3068" xr:uid="{1541F289-2098-441D-9306-028721CB0C5B}"/>
    <cellStyle name="Įprastas 5 2 2 2 8_Lapas1" xfId="1451" xr:uid="{A24C8184-6296-4431-917D-88A4109A794B}"/>
    <cellStyle name="Įprastas 5 2 2 2 9" xfId="1453" xr:uid="{D40CC87A-BC37-434E-8A53-EFB3991E126F}"/>
    <cellStyle name="Įprastas 5 2 2 2_8 priedas" xfId="37" xr:uid="{00000000-0005-0000-0000-000084000000}"/>
    <cellStyle name="Įprastas 5 2 2 3" xfId="73" xr:uid="{00000000-0005-0000-0000-000085000000}"/>
    <cellStyle name="Įprastas 5 2 2 3 2" xfId="74" xr:uid="{00000000-0005-0000-0000-000086000000}"/>
    <cellStyle name="Įprastas 5 2 2 3 2 2" xfId="75" xr:uid="{00000000-0005-0000-0000-000087000000}"/>
    <cellStyle name="Įprastas 5 2 2 3 2 2 2" xfId="76" xr:uid="{00000000-0005-0000-0000-000088000000}"/>
    <cellStyle name="Įprastas 5 2 2 3 2 2 2 2" xfId="705" xr:uid="{00000000-0005-0000-0000-000089000000}"/>
    <cellStyle name="Įprastas 5 2 2 3 2 2 2 2 2" xfId="1455" xr:uid="{32A3D48D-E864-45F3-B07F-208F8C79208B}"/>
    <cellStyle name="Įprastas 5 2 2 3 2 2 2 2 3" xfId="3289" xr:uid="{F30A96B0-06EB-499F-93DE-096A0D791B0E}"/>
    <cellStyle name="Įprastas 5 2 2 3 2 2 2 2_Lapas1" xfId="1454" xr:uid="{745CC23E-650C-48FB-AD6D-A5AE6F47CACC}"/>
    <cellStyle name="Įprastas 5 2 2 3 2 2 2 3" xfId="1456" xr:uid="{60E39717-3E8B-4C92-80E4-D28FCED17191}"/>
    <cellStyle name="Įprastas 5 2 2 3 2 2 2 4" xfId="2680" xr:uid="{C0DB9D16-10C3-4855-836C-E7618EF4CCCA}"/>
    <cellStyle name="Įprastas 5 2 2 3 2 2 2_8 priedas" xfId="1316" xr:uid="{00000000-0005-0000-0000-00008A000000}"/>
    <cellStyle name="Įprastas 5 2 2 3 2 2 3" xfId="77" xr:uid="{00000000-0005-0000-0000-00008B000000}"/>
    <cellStyle name="Įprastas 5 2 2 3 2 2 3 2" xfId="849" xr:uid="{00000000-0005-0000-0000-00008C000000}"/>
    <cellStyle name="Įprastas 5 2 2 3 2 2 3 2 2" xfId="1458" xr:uid="{E5A1E3B9-2C46-4867-9476-2ECEA27F2FF6}"/>
    <cellStyle name="Įprastas 5 2 2 3 2 2 3 2 3" xfId="3433" xr:uid="{4AA58C49-DD31-4548-8A3A-C77CC3BD3476}"/>
    <cellStyle name="Įprastas 5 2 2 3 2 2 3 2_Lapas1" xfId="1457" xr:uid="{146066BB-056C-489B-AA97-640BEF00E618}"/>
    <cellStyle name="Įprastas 5 2 2 3 2 2 3 3" xfId="1459" xr:uid="{9F5A7F11-EE09-4F29-BAC7-E335704579D7}"/>
    <cellStyle name="Įprastas 5 2 2 3 2 2 3 4" xfId="2681" xr:uid="{C1A2633A-1A51-46F0-9692-12E864586D75}"/>
    <cellStyle name="Įprastas 5 2 2 3 2 2 3_8 priedas" xfId="1179" xr:uid="{00000000-0005-0000-0000-00008D000000}"/>
    <cellStyle name="Įprastas 5 2 2 3 2 2 4" xfId="561" xr:uid="{00000000-0005-0000-0000-00008E000000}"/>
    <cellStyle name="Įprastas 5 2 2 3 2 2 4 2" xfId="1461" xr:uid="{6F0F4B4A-2397-4C9A-AE03-F624A8DB14E0}"/>
    <cellStyle name="Įprastas 5 2 2 3 2 2 4 3" xfId="3145" xr:uid="{D98753B2-E811-430A-8237-AAC5813680B4}"/>
    <cellStyle name="Įprastas 5 2 2 3 2 2 4_Lapas1" xfId="1460" xr:uid="{D5854415-FFE7-479D-8FEB-076549BCDF43}"/>
    <cellStyle name="Įprastas 5 2 2 3 2 2 5" xfId="1462" xr:uid="{3D07F2DA-EE62-4195-800F-402D8B3774FA}"/>
    <cellStyle name="Įprastas 5 2 2 3 2 2 6" xfId="2679" xr:uid="{13BB8386-C54C-4018-BE81-177D6DD8A8DE}"/>
    <cellStyle name="Įprastas 5 2 2 3 2 2_8 priedas" xfId="1091" xr:uid="{00000000-0005-0000-0000-00008F000000}"/>
    <cellStyle name="Įprastas 5 2 2 3 2 3" xfId="78" xr:uid="{00000000-0005-0000-0000-000090000000}"/>
    <cellStyle name="Įprastas 5 2 2 3 2 3 2" xfId="79" xr:uid="{00000000-0005-0000-0000-000091000000}"/>
    <cellStyle name="Įprastas 5 2 2 3 2 3 2 2" xfId="753" xr:uid="{00000000-0005-0000-0000-000092000000}"/>
    <cellStyle name="Įprastas 5 2 2 3 2 3 2 2 2" xfId="1464" xr:uid="{ED48E5AA-406B-407B-BA78-62E9CAF15415}"/>
    <cellStyle name="Įprastas 5 2 2 3 2 3 2 2 3" xfId="3337" xr:uid="{FF2C3844-FC06-4548-8F58-A843789B5E88}"/>
    <cellStyle name="Įprastas 5 2 2 3 2 3 2 2_Lapas1" xfId="1463" xr:uid="{A2AB460A-F1BC-496D-B12E-73C64BE1E06D}"/>
    <cellStyle name="Įprastas 5 2 2 3 2 3 2 3" xfId="1465" xr:uid="{16E27804-D28B-46AC-99C1-B3746EEC66BA}"/>
    <cellStyle name="Įprastas 5 2 2 3 2 3 2 4" xfId="2683" xr:uid="{F84A1943-399A-4B3D-B6FD-388448BD3153}"/>
    <cellStyle name="Įprastas 5 2 2 3 2 3 2_8 priedas" xfId="1267" xr:uid="{00000000-0005-0000-0000-000093000000}"/>
    <cellStyle name="Įprastas 5 2 2 3 2 3 3" xfId="80" xr:uid="{00000000-0005-0000-0000-000094000000}"/>
    <cellStyle name="Įprastas 5 2 2 3 2 3 3 2" xfId="897" xr:uid="{00000000-0005-0000-0000-000095000000}"/>
    <cellStyle name="Įprastas 5 2 2 3 2 3 3 2 2" xfId="1467" xr:uid="{EBA5D70D-D57B-44E7-9E7B-7D6CC1B4AE9D}"/>
    <cellStyle name="Įprastas 5 2 2 3 2 3 3 2 3" xfId="3481" xr:uid="{BBBAFEBF-090F-497E-BF29-924B96F68F61}"/>
    <cellStyle name="Įprastas 5 2 2 3 2 3 3 2_Lapas1" xfId="1466" xr:uid="{18C7E601-A522-46FB-809C-54CD0DF55252}"/>
    <cellStyle name="Įprastas 5 2 2 3 2 3 3 3" xfId="1468" xr:uid="{4A9DEBAF-8781-4640-9131-7FC5B1663ADE}"/>
    <cellStyle name="Įprastas 5 2 2 3 2 3 3 4" xfId="2684" xr:uid="{B6870405-DFE4-40DB-948F-0A4288EEF354}"/>
    <cellStyle name="Įprastas 5 2 2 3 2 3 3_8 priedas" xfId="1131" xr:uid="{00000000-0005-0000-0000-000096000000}"/>
    <cellStyle name="Įprastas 5 2 2 3 2 3 4" xfId="609" xr:uid="{00000000-0005-0000-0000-000097000000}"/>
    <cellStyle name="Įprastas 5 2 2 3 2 3 4 2" xfId="1470" xr:uid="{1FD950BC-21F4-4DDA-8B96-A50A07EF32BF}"/>
    <cellStyle name="Įprastas 5 2 2 3 2 3 4 3" xfId="3193" xr:uid="{EA01F804-3BE9-4755-A557-73531E581285}"/>
    <cellStyle name="Įprastas 5 2 2 3 2 3 4_Lapas1" xfId="1469" xr:uid="{16E727FD-54E8-4598-B50C-DDA8BD231D8D}"/>
    <cellStyle name="Įprastas 5 2 2 3 2 3 5" xfId="1471" xr:uid="{6B8DF311-C6D8-4F72-A2D8-C3B29E16A158}"/>
    <cellStyle name="Įprastas 5 2 2 3 2 3 6" xfId="2682" xr:uid="{B0FDD936-C566-4D19-A4B1-6E2BDF74A2ED}"/>
    <cellStyle name="Įprastas 5 2 2 3 2 3_8 priedas" xfId="1043" xr:uid="{00000000-0005-0000-0000-000098000000}"/>
    <cellStyle name="Įprastas 5 2 2 3 2 4" xfId="81" xr:uid="{00000000-0005-0000-0000-000099000000}"/>
    <cellStyle name="Įprastas 5 2 2 3 2 4 2" xfId="657" xr:uid="{00000000-0005-0000-0000-00009A000000}"/>
    <cellStyle name="Įprastas 5 2 2 3 2 4 2 2" xfId="1473" xr:uid="{C9EBC305-8424-41C5-8365-5673622FE8A6}"/>
    <cellStyle name="Įprastas 5 2 2 3 2 4 2 3" xfId="3241" xr:uid="{D3B72326-A4F9-4321-8095-4C4101E692F4}"/>
    <cellStyle name="Įprastas 5 2 2 3 2 4 2_Lapas1" xfId="1472" xr:uid="{8536894C-F56F-40C0-A735-60FD82F67FFD}"/>
    <cellStyle name="Įprastas 5 2 2 3 2 4 3" xfId="1474" xr:uid="{ACEBA5FD-71BB-499E-8BB6-5726D1BAE4CE}"/>
    <cellStyle name="Įprastas 5 2 2 3 2 4 4" xfId="2685" xr:uid="{1985A55C-575D-4BBA-9E2C-996EEB041B42}"/>
    <cellStyle name="Įprastas 5 2 2 3 2 4_8 priedas" xfId="995" xr:uid="{00000000-0005-0000-0000-00009B000000}"/>
    <cellStyle name="Įprastas 5 2 2 3 2 5" xfId="82" xr:uid="{00000000-0005-0000-0000-00009C000000}"/>
    <cellStyle name="Įprastas 5 2 2 3 2 5 2" xfId="801" xr:uid="{00000000-0005-0000-0000-00009D000000}"/>
    <cellStyle name="Įprastas 5 2 2 3 2 5 2 2" xfId="1476" xr:uid="{76C598D7-EDEB-4780-9A23-9C6B31E8832A}"/>
    <cellStyle name="Įprastas 5 2 2 3 2 5 2 3" xfId="3385" xr:uid="{7966743A-7E72-4ECF-8352-196E8DE3BB8F}"/>
    <cellStyle name="Įprastas 5 2 2 3 2 5 2_Lapas1" xfId="1475" xr:uid="{EA1E195C-531D-4C83-B44E-7C6A7F8AA0EA}"/>
    <cellStyle name="Įprastas 5 2 2 3 2 5 3" xfId="1477" xr:uid="{CD34FB0A-92E3-49BA-A793-A19254BAB473}"/>
    <cellStyle name="Įprastas 5 2 2 3 2 5 4" xfId="2686" xr:uid="{A2DBE422-C429-48F4-A021-3B213A4995F3}"/>
    <cellStyle name="Įprastas 5 2 2 3 2 5_8 priedas" xfId="954" xr:uid="{00000000-0005-0000-0000-00009E000000}"/>
    <cellStyle name="Įprastas 5 2 2 3 2 6" xfId="513" xr:uid="{00000000-0005-0000-0000-00009F000000}"/>
    <cellStyle name="Įprastas 5 2 2 3 2 6 2" xfId="1479" xr:uid="{A547CF7A-F6E3-4073-B48F-C9956BE8231B}"/>
    <cellStyle name="Įprastas 5 2 2 3 2 6 3" xfId="3097" xr:uid="{8808C717-E27B-4C49-BBD1-379F24F7A8C8}"/>
    <cellStyle name="Įprastas 5 2 2 3 2 6_Lapas1" xfId="1478" xr:uid="{8944941E-FEDB-4EEE-9BB7-BF529635B32E}"/>
    <cellStyle name="Įprastas 5 2 2 3 2 7" xfId="1480" xr:uid="{80A2E3DB-1478-4DA7-8819-65D099D25927}"/>
    <cellStyle name="Įprastas 5 2 2 3 2 8" xfId="2678" xr:uid="{24DE6904-8DE8-4112-BD2F-42BF3025DB8B}"/>
    <cellStyle name="Įprastas 5 2 2 3 2_8 priedas" xfId="1225" xr:uid="{00000000-0005-0000-0000-0000A0000000}"/>
    <cellStyle name="Įprastas 5 2 2 3 3" xfId="83" xr:uid="{00000000-0005-0000-0000-0000A1000000}"/>
    <cellStyle name="Įprastas 5 2 2 3 3 2" xfId="84" xr:uid="{00000000-0005-0000-0000-0000A2000000}"/>
    <cellStyle name="Įprastas 5 2 2 3 3 2 2" xfId="681" xr:uid="{00000000-0005-0000-0000-0000A3000000}"/>
    <cellStyle name="Įprastas 5 2 2 3 3 2 2 2" xfId="1482" xr:uid="{D071C76A-50E5-4C82-B8CB-5C55B94DCFCE}"/>
    <cellStyle name="Įprastas 5 2 2 3 3 2 2 3" xfId="3265" xr:uid="{F48B23BA-A95D-487C-9410-E308F56186AA}"/>
    <cellStyle name="Įprastas 5 2 2 3 3 2 2_Lapas1" xfId="1481" xr:uid="{052E0D4B-EFE8-45C7-86C5-6484F255F583}"/>
    <cellStyle name="Įprastas 5 2 2 3 3 2 3" xfId="1483" xr:uid="{C2409C2F-0286-4B5D-A9D4-82B909AA9F82}"/>
    <cellStyle name="Įprastas 5 2 2 3 3 2 4" xfId="2688" xr:uid="{5438227F-64CE-47B7-978F-705FF5722EED}"/>
    <cellStyle name="Įprastas 5 2 2 3 3 2_8 priedas" xfId="941" xr:uid="{00000000-0005-0000-0000-0000A4000000}"/>
    <cellStyle name="Įprastas 5 2 2 3 3 3" xfId="85" xr:uid="{00000000-0005-0000-0000-0000A5000000}"/>
    <cellStyle name="Įprastas 5 2 2 3 3 3 2" xfId="825" xr:uid="{00000000-0005-0000-0000-0000A6000000}"/>
    <cellStyle name="Įprastas 5 2 2 3 3 3 2 2" xfId="1485" xr:uid="{9CFD0FEA-EF68-4868-99B3-606C1C4F9BD4}"/>
    <cellStyle name="Įprastas 5 2 2 3 3 3 2 3" xfId="3409" xr:uid="{3DEF0352-68E2-4D3D-89CC-F07831643E76}"/>
    <cellStyle name="Įprastas 5 2 2 3 3 3 2_Lapas1" xfId="1484" xr:uid="{AE4A08AB-4375-4A3F-8352-1E409AFDCFEB}"/>
    <cellStyle name="Įprastas 5 2 2 3 3 3 3" xfId="1486" xr:uid="{08F99F70-8F99-4468-A834-BA10249C348E}"/>
    <cellStyle name="Įprastas 5 2 2 3 3 3 4" xfId="2689" xr:uid="{F259449F-63EA-497E-BD11-8A9B08842424}"/>
    <cellStyle name="Įprastas 5 2 2 3 3 3_8 priedas" xfId="1195" xr:uid="{00000000-0005-0000-0000-0000A7000000}"/>
    <cellStyle name="Įprastas 5 2 2 3 3 4" xfId="537" xr:uid="{00000000-0005-0000-0000-0000A8000000}"/>
    <cellStyle name="Įprastas 5 2 2 3 3 4 2" xfId="1488" xr:uid="{620591FD-4A35-49E4-815F-B8620E4F57BF}"/>
    <cellStyle name="Įprastas 5 2 2 3 3 4 3" xfId="3121" xr:uid="{512D80A9-9BEB-4BDA-9C56-624145912D45}"/>
    <cellStyle name="Įprastas 5 2 2 3 3 4_Lapas1" xfId="1487" xr:uid="{BD491528-1419-4A8C-B144-CC4C013EF8C9}"/>
    <cellStyle name="Įprastas 5 2 2 3 3 5" xfId="1489" xr:uid="{B2993B8F-1E00-49EC-8047-2CE58BB5F316}"/>
    <cellStyle name="Įprastas 5 2 2 3 3 6" xfId="2687" xr:uid="{74DD5765-A445-4E5F-B0F8-3E8EC1B558C5}"/>
    <cellStyle name="Įprastas 5 2 2 3 3_8 priedas" xfId="925" xr:uid="{00000000-0005-0000-0000-0000A9000000}"/>
    <cellStyle name="Įprastas 5 2 2 3 4" xfId="86" xr:uid="{00000000-0005-0000-0000-0000AA000000}"/>
    <cellStyle name="Įprastas 5 2 2 3 4 2" xfId="87" xr:uid="{00000000-0005-0000-0000-0000AB000000}"/>
    <cellStyle name="Įprastas 5 2 2 3 4 2 2" xfId="729" xr:uid="{00000000-0005-0000-0000-0000AC000000}"/>
    <cellStyle name="Įprastas 5 2 2 3 4 2 2 2" xfId="1491" xr:uid="{00A8434D-2173-47F9-99CF-ACA5D5BB9351}"/>
    <cellStyle name="Įprastas 5 2 2 3 4 2 2 3" xfId="3313" xr:uid="{1E8D994C-7616-4E7B-A897-E7C1A2FB916E}"/>
    <cellStyle name="Įprastas 5 2 2 3 4 2 2_Lapas1" xfId="1490" xr:uid="{BF48FFD6-6BF9-4263-A937-C763298CB06C}"/>
    <cellStyle name="Įprastas 5 2 2 3 4 2 3" xfId="1492" xr:uid="{D1997D15-4EC0-449F-9404-76E02DA763AB}"/>
    <cellStyle name="Įprastas 5 2 2 3 4 2 4" xfId="2691" xr:uid="{357DBEAD-8679-40A2-A255-BEE74FFC410A}"/>
    <cellStyle name="Įprastas 5 2 2 3 4 2_8 priedas" xfId="1286" xr:uid="{00000000-0005-0000-0000-0000AD000000}"/>
    <cellStyle name="Įprastas 5 2 2 3 4 3" xfId="88" xr:uid="{00000000-0005-0000-0000-0000AE000000}"/>
    <cellStyle name="Įprastas 5 2 2 3 4 3 2" xfId="873" xr:uid="{00000000-0005-0000-0000-0000AF000000}"/>
    <cellStyle name="Įprastas 5 2 2 3 4 3 2 2" xfId="1494" xr:uid="{D9870E02-0D5A-4427-BC8F-FCA75FE28C0A}"/>
    <cellStyle name="Įprastas 5 2 2 3 4 3 2 3" xfId="3457" xr:uid="{A70AF8B1-D140-4548-AFBA-F56A61F5A18F}"/>
    <cellStyle name="Įprastas 5 2 2 3 4 3 2_Lapas1" xfId="1493" xr:uid="{0003A072-59E7-43C7-B6C5-B777021AB7DC}"/>
    <cellStyle name="Įprastas 5 2 2 3 4 3 3" xfId="1495" xr:uid="{528B09C7-C770-4AE4-BCBD-C6BEA4B80D10}"/>
    <cellStyle name="Įprastas 5 2 2 3 4 3 4" xfId="2692" xr:uid="{D0717A1C-6144-48C2-8521-DD62AEBB6D85}"/>
    <cellStyle name="Įprastas 5 2 2 3 4 3_8 priedas" xfId="1149" xr:uid="{00000000-0005-0000-0000-0000B0000000}"/>
    <cellStyle name="Įprastas 5 2 2 3 4 4" xfId="585" xr:uid="{00000000-0005-0000-0000-0000B1000000}"/>
    <cellStyle name="Įprastas 5 2 2 3 4 4 2" xfId="1497" xr:uid="{EB06A828-9BA4-41FD-AC5E-6007ECA32B6F}"/>
    <cellStyle name="Įprastas 5 2 2 3 4 4 3" xfId="3169" xr:uid="{A20C807C-DCF2-4C43-9CE6-5427C3FF59F3}"/>
    <cellStyle name="Įprastas 5 2 2 3 4 4_Lapas1" xfId="1496" xr:uid="{7EDB3DF7-28D1-4898-B6F1-56511CC87620}"/>
    <cellStyle name="Įprastas 5 2 2 3 4 5" xfId="1498" xr:uid="{DD66C069-B029-42A7-BDAF-4919A9694A90}"/>
    <cellStyle name="Įprastas 5 2 2 3 4 6" xfId="2690" xr:uid="{09B47A9D-7C0A-485A-99B7-11565637B4F4}"/>
    <cellStyle name="Įprastas 5 2 2 3 4_8 priedas" xfId="1061" xr:uid="{00000000-0005-0000-0000-0000B2000000}"/>
    <cellStyle name="Įprastas 5 2 2 3 5" xfId="89" xr:uid="{00000000-0005-0000-0000-0000B3000000}"/>
    <cellStyle name="Įprastas 5 2 2 3 5 2" xfId="633" xr:uid="{00000000-0005-0000-0000-0000B4000000}"/>
    <cellStyle name="Įprastas 5 2 2 3 5 2 2" xfId="1500" xr:uid="{3B669553-E996-4809-AFB4-DAE4990EA37B}"/>
    <cellStyle name="Įprastas 5 2 2 3 5 2 3" xfId="3217" xr:uid="{0D25C797-2D9B-466C-B8C9-B64C819667AD}"/>
    <cellStyle name="Įprastas 5 2 2 3 5 2_Lapas1" xfId="1499" xr:uid="{067E230A-40AB-47E8-8B18-8F631FB90B23}"/>
    <cellStyle name="Įprastas 5 2 2 3 5 3" xfId="1501" xr:uid="{9B554722-130C-48B4-88D4-5DF5D166BB82}"/>
    <cellStyle name="Įprastas 5 2 2 3 5 4" xfId="2693" xr:uid="{4FAC7941-2A53-46D3-854C-FC148A09BE68}"/>
    <cellStyle name="Įprastas 5 2 2 3 5_8 priedas" xfId="1014" xr:uid="{00000000-0005-0000-0000-0000B5000000}"/>
    <cellStyle name="Įprastas 5 2 2 3 6" xfId="90" xr:uid="{00000000-0005-0000-0000-0000B6000000}"/>
    <cellStyle name="Įprastas 5 2 2 3 6 2" xfId="777" xr:uid="{00000000-0005-0000-0000-0000B7000000}"/>
    <cellStyle name="Įprastas 5 2 2 3 6 2 2" xfId="1503" xr:uid="{DD076287-448A-4EAB-A618-4D3F9CBFF2C1}"/>
    <cellStyle name="Įprastas 5 2 2 3 6 2 3" xfId="3361" xr:uid="{45BE798B-A19F-4D47-A740-7AB86FDE6E0F}"/>
    <cellStyle name="Įprastas 5 2 2 3 6 2_Lapas1" xfId="1502" xr:uid="{7F5ABF89-9B94-4CF2-9951-3B5941A11CE5}"/>
    <cellStyle name="Įprastas 5 2 2 3 6 3" xfId="1504" xr:uid="{488834ED-2BA7-4547-B973-7F9969DE1008}"/>
    <cellStyle name="Įprastas 5 2 2 3 6 4" xfId="2694" xr:uid="{AEA27792-B361-4C2D-B84E-86C267C6C8F7}"/>
    <cellStyle name="Įprastas 5 2 2 3 6_8 priedas" xfId="1239" xr:uid="{00000000-0005-0000-0000-0000B8000000}"/>
    <cellStyle name="Įprastas 5 2 2 3 7" xfId="489" xr:uid="{00000000-0005-0000-0000-0000B9000000}"/>
    <cellStyle name="Įprastas 5 2 2 3 7 2" xfId="1506" xr:uid="{576359B6-BA8C-429D-A229-678644762BB2}"/>
    <cellStyle name="Įprastas 5 2 2 3 7 3" xfId="3073" xr:uid="{88AED4A3-3046-400F-BFB2-E50E6835B5C0}"/>
    <cellStyle name="Įprastas 5 2 2 3 7_Lapas1" xfId="1505" xr:uid="{994BC0D0-8F97-4FA0-81A6-8F95B80C8D3B}"/>
    <cellStyle name="Įprastas 5 2 2 3 8" xfId="1507" xr:uid="{7642A224-FD1B-45BA-ABA8-3ED439C77F70}"/>
    <cellStyle name="Įprastas 5 2 2 3 9" xfId="2677" xr:uid="{F7ACCDA6-6304-401C-B1FD-2C74A2556A45}"/>
    <cellStyle name="Įprastas 5 2 2 3_8 priedas" xfId="979" xr:uid="{00000000-0005-0000-0000-0000BA000000}"/>
    <cellStyle name="Įprastas 5 2 2 4" xfId="91" xr:uid="{00000000-0005-0000-0000-0000BB000000}"/>
    <cellStyle name="Įprastas 5 2 2 4 2" xfId="92" xr:uid="{00000000-0005-0000-0000-0000BC000000}"/>
    <cellStyle name="Įprastas 5 2 2 4 2 2" xfId="93" xr:uid="{00000000-0005-0000-0000-0000BD000000}"/>
    <cellStyle name="Įprastas 5 2 2 4 2 2 2" xfId="693" xr:uid="{00000000-0005-0000-0000-0000BE000000}"/>
    <cellStyle name="Įprastas 5 2 2 4 2 2 2 2" xfId="1509" xr:uid="{47B44A0B-9E3B-47D1-B745-C8337A248C49}"/>
    <cellStyle name="Įprastas 5 2 2 4 2 2 2 3" xfId="3277" xr:uid="{51DFC718-2F8E-43C3-86AD-C0FC4C44815B}"/>
    <cellStyle name="Įprastas 5 2 2 4 2 2 2_Lapas1" xfId="1508" xr:uid="{DC40F6F9-66A0-4659-BD76-06D973D1182E}"/>
    <cellStyle name="Įprastas 5 2 2 4 2 2 3" xfId="1510" xr:uid="{84A408FF-5E60-47CD-B5A3-165745581B98}"/>
    <cellStyle name="Įprastas 5 2 2 4 2 2 4" xfId="2697" xr:uid="{B4657B59-4956-4B93-9E94-A8744F27F39D}"/>
    <cellStyle name="Įprastas 5 2 2 4 2 2_8 priedas" xfId="1219" xr:uid="{00000000-0005-0000-0000-0000BF000000}"/>
    <cellStyle name="Įprastas 5 2 2 4 2 3" xfId="94" xr:uid="{00000000-0005-0000-0000-0000C0000000}"/>
    <cellStyle name="Įprastas 5 2 2 4 2 3 2" xfId="837" xr:uid="{00000000-0005-0000-0000-0000C1000000}"/>
    <cellStyle name="Įprastas 5 2 2 4 2 3 2 2" xfId="1512" xr:uid="{A1EE0F78-6C98-47D9-952A-C287F2F91B1E}"/>
    <cellStyle name="Įprastas 5 2 2 4 2 3 2 3" xfId="3421" xr:uid="{8D1D9C55-9A46-42E5-820B-B2799038C010}"/>
    <cellStyle name="Įprastas 5 2 2 4 2 3 2_Lapas1" xfId="1511" xr:uid="{A0AEC985-79F8-43C9-8958-993E6BD2CB90}"/>
    <cellStyle name="Įprastas 5 2 2 4 2 3 3" xfId="1513" xr:uid="{57B141B7-5822-4BAE-88DD-497E273F5CAA}"/>
    <cellStyle name="Įprastas 5 2 2 4 2 3 4" xfId="2698" xr:uid="{61E6D733-C971-43A3-8F37-FC71E6B53231}"/>
    <cellStyle name="Įprastas 5 2 2 4 2 3_8 priedas" xfId="1085" xr:uid="{00000000-0005-0000-0000-0000C2000000}"/>
    <cellStyle name="Įprastas 5 2 2 4 2 4" xfId="549" xr:uid="{00000000-0005-0000-0000-0000C3000000}"/>
    <cellStyle name="Įprastas 5 2 2 4 2 4 2" xfId="1515" xr:uid="{90D88BBF-9B23-4707-A663-C4272DFE98B2}"/>
    <cellStyle name="Įprastas 5 2 2 4 2 4 3" xfId="3133" xr:uid="{7D11C4F3-6652-48BB-B3B5-FA73A0BEAEBA}"/>
    <cellStyle name="Įprastas 5 2 2 4 2 4_Lapas1" xfId="1514" xr:uid="{B07D5E9C-E5C1-44AC-833E-7D31115D7B36}"/>
    <cellStyle name="Įprastas 5 2 2 4 2 5" xfId="1516" xr:uid="{7E8B12B4-FCDB-4E9A-A519-436519611CF1}"/>
    <cellStyle name="Įprastas 5 2 2 4 2 6" xfId="2696" xr:uid="{85A9151B-DA97-4E05-8C80-037C6631CBEB}"/>
    <cellStyle name="Įprastas 5 2 2 4 2_8 priedas" xfId="973" xr:uid="{00000000-0005-0000-0000-0000C4000000}"/>
    <cellStyle name="Įprastas 5 2 2 4 3" xfId="95" xr:uid="{00000000-0005-0000-0000-0000C5000000}"/>
    <cellStyle name="Įprastas 5 2 2 4 3 2" xfId="96" xr:uid="{00000000-0005-0000-0000-0000C6000000}"/>
    <cellStyle name="Įprastas 5 2 2 4 3 2 2" xfId="741" xr:uid="{00000000-0005-0000-0000-0000C7000000}"/>
    <cellStyle name="Įprastas 5 2 2 4 3 2 2 2" xfId="1518" xr:uid="{EF1E06B8-AA42-49CE-B04B-7BC16CB53CD8}"/>
    <cellStyle name="Įprastas 5 2 2 4 3 2 2 3" xfId="3325" xr:uid="{8C9CA332-0179-479C-AAC5-812EC9703864}"/>
    <cellStyle name="Įprastas 5 2 2 4 3 2 2_Lapas1" xfId="1517" xr:uid="{235A365D-9627-4F18-ABD6-9FA213CD0AAA}"/>
    <cellStyle name="Įprastas 5 2 2 4 3 2 3" xfId="1519" xr:uid="{DF64CAAF-9A75-45C7-9987-78C1697CA792}"/>
    <cellStyle name="Įprastas 5 2 2 4 3 2 4" xfId="2700" xr:uid="{8DBEDC22-A610-42DB-AD9F-734347EEAC03}"/>
    <cellStyle name="Įprastas 5 2 2 4 3 2_8 priedas" xfId="1173" xr:uid="{00000000-0005-0000-0000-0000C8000000}"/>
    <cellStyle name="Įprastas 5 2 2 4 3 3" xfId="97" xr:uid="{00000000-0005-0000-0000-0000C9000000}"/>
    <cellStyle name="Įprastas 5 2 2 4 3 3 2" xfId="885" xr:uid="{00000000-0005-0000-0000-0000CA000000}"/>
    <cellStyle name="Įprastas 5 2 2 4 3 3 2 2" xfId="1521" xr:uid="{248D9DB4-957D-4F1F-9A4B-3D333A7DF005}"/>
    <cellStyle name="Įprastas 5 2 2 4 3 3 2 3" xfId="3469" xr:uid="{D5739066-3E80-4F33-86DE-1147C83680A6}"/>
    <cellStyle name="Įprastas 5 2 2 4 3 3 2_Lapas1" xfId="1520" xr:uid="{46B18F8B-D08C-4FAB-8EE3-747E6241786D}"/>
    <cellStyle name="Įprastas 5 2 2 4 3 3 3" xfId="1522" xr:uid="{C07FE29C-2018-4DEC-8D2B-BA4B04EC6E82}"/>
    <cellStyle name="Įprastas 5 2 2 4 3 3 4" xfId="2701" xr:uid="{6CE3D4AB-482D-42D1-AE93-BDD045746095}"/>
    <cellStyle name="Įprastas 5 2 2 4 3 3_8 priedas" xfId="1037" xr:uid="{00000000-0005-0000-0000-0000CB000000}"/>
    <cellStyle name="Įprastas 5 2 2 4 3 4" xfId="597" xr:uid="{00000000-0005-0000-0000-0000CC000000}"/>
    <cellStyle name="Įprastas 5 2 2 4 3 4 2" xfId="1524" xr:uid="{33F6DC88-1680-4F0F-92FD-1E6A9C7B969B}"/>
    <cellStyle name="Įprastas 5 2 2 4 3 4 3" xfId="3181" xr:uid="{542DE64E-F63F-4DBA-824C-278F042A1537}"/>
    <cellStyle name="Įprastas 5 2 2 4 3 4_Lapas1" xfId="1523" xr:uid="{95ADB21D-A4D0-4DC2-9645-AC70A2621169}"/>
    <cellStyle name="Įprastas 5 2 2 4 3 5" xfId="1525" xr:uid="{47BB5D14-AD72-4809-8952-3FC413D15752}"/>
    <cellStyle name="Įprastas 5 2 2 4 3 6" xfId="2699" xr:uid="{CE960126-7DFB-4FF8-A2C8-DFAE428A1613}"/>
    <cellStyle name="Įprastas 5 2 2 4 3_8 priedas" xfId="1310" xr:uid="{00000000-0005-0000-0000-0000CD000000}"/>
    <cellStyle name="Įprastas 5 2 2 4 4" xfId="98" xr:uid="{00000000-0005-0000-0000-0000CE000000}"/>
    <cellStyle name="Įprastas 5 2 2 4 4 2" xfId="645" xr:uid="{00000000-0005-0000-0000-0000CF000000}"/>
    <cellStyle name="Įprastas 5 2 2 4 4 2 2" xfId="1527" xr:uid="{3D087104-500F-4DAF-98E3-607FB3287F32}"/>
    <cellStyle name="Įprastas 5 2 2 4 4 2 3" xfId="3229" xr:uid="{6A03990E-BB8B-41CD-B389-7067DE457981}"/>
    <cellStyle name="Įprastas 5 2 2 4 4 2_Lapas1" xfId="1526" xr:uid="{C723316C-350E-47EF-B73E-EFDA7C48C5CC}"/>
    <cellStyle name="Įprastas 5 2 2 4 4 3" xfId="1528" xr:uid="{F68D0FBA-95AC-43DF-9CCC-B2E8B6989B77}"/>
    <cellStyle name="Įprastas 5 2 2 4 4 4" xfId="2702" xr:uid="{038B8359-E8EF-4B53-B4D1-4AF5EBD148DC}"/>
    <cellStyle name="Įprastas 5 2 2 4 4_8 priedas" xfId="1261" xr:uid="{00000000-0005-0000-0000-0000D0000000}"/>
    <cellStyle name="Įprastas 5 2 2 4 5" xfId="99" xr:uid="{00000000-0005-0000-0000-0000D1000000}"/>
    <cellStyle name="Įprastas 5 2 2 4 5 2" xfId="789" xr:uid="{00000000-0005-0000-0000-0000D2000000}"/>
    <cellStyle name="Įprastas 5 2 2 4 5 2 2" xfId="1530" xr:uid="{5D84DD8C-9E6B-4E83-81E1-346D7643B2DE}"/>
    <cellStyle name="Įprastas 5 2 2 4 5 2 3" xfId="3373" xr:uid="{50EBD3B8-B5EB-4D70-ACC3-8C8F1BABFD3A}"/>
    <cellStyle name="Įprastas 5 2 2 4 5 2_Lapas1" xfId="1529" xr:uid="{44EDA4A5-4C74-4AB1-B180-0C22F356BC57}"/>
    <cellStyle name="Įprastas 5 2 2 4 5 3" xfId="1531" xr:uid="{3F58703F-33A3-4E79-88CA-7E7C80E07E29}"/>
    <cellStyle name="Įprastas 5 2 2 4 5 4" xfId="2703" xr:uid="{A9DFC75E-FDA9-4CC5-BA61-643C530E15A7}"/>
    <cellStyle name="Įprastas 5 2 2 4 5_8 priedas" xfId="1125" xr:uid="{00000000-0005-0000-0000-0000D3000000}"/>
    <cellStyle name="Įprastas 5 2 2 4 6" xfId="501" xr:uid="{00000000-0005-0000-0000-0000D4000000}"/>
    <cellStyle name="Įprastas 5 2 2 4 6 2" xfId="1533" xr:uid="{F3814C23-FE51-4715-8C20-A9B66FAD3296}"/>
    <cellStyle name="Įprastas 5 2 2 4 6 3" xfId="3085" xr:uid="{E79F246E-7103-43BB-95D9-8634F33D4330}"/>
    <cellStyle name="Įprastas 5 2 2 4 6_Lapas1" xfId="1532" xr:uid="{92BE3171-6C88-442D-855B-98F4D88525E2}"/>
    <cellStyle name="Įprastas 5 2 2 4 7" xfId="1534" xr:uid="{68680FAC-B51D-4E34-B9D6-07A794A2F269}"/>
    <cellStyle name="Įprastas 5 2 2 4 8" xfId="2695" xr:uid="{1DE4B9CF-2E55-4A9B-BB9D-BD8748D73F05}"/>
    <cellStyle name="Įprastas 5 2 2 4_8 priedas" xfId="1109" xr:uid="{00000000-0005-0000-0000-0000D5000000}"/>
    <cellStyle name="Įprastas 5 2 2 5" xfId="100" xr:uid="{00000000-0005-0000-0000-0000D6000000}"/>
    <cellStyle name="Įprastas 5 2 2 5 2" xfId="101" xr:uid="{00000000-0005-0000-0000-0000D7000000}"/>
    <cellStyle name="Įprastas 5 2 2 5 2 2" xfId="669" xr:uid="{00000000-0005-0000-0000-0000D8000000}"/>
    <cellStyle name="Įprastas 5 2 2 5 2 2 2" xfId="1536" xr:uid="{65B9D789-2055-4CCA-9239-D5DD510BF221}"/>
    <cellStyle name="Įprastas 5 2 2 5 2 2 3" xfId="3253" xr:uid="{860D90FF-CC68-4283-B7E9-F54BC0E1A784}"/>
    <cellStyle name="Įprastas 5 2 2 5 2 2_Lapas1" xfId="1535" xr:uid="{48DEAEBD-F5AA-4326-9DEF-72AEA1F27F3C}"/>
    <cellStyle name="Įprastas 5 2 2 5 2 3" xfId="1537" xr:uid="{2ADA449C-D3E3-46EF-884C-2F1FA0A7D1A4}"/>
    <cellStyle name="Įprastas 5 2 2 5 2 4" xfId="2705" xr:uid="{17430D26-CD7E-40A7-B959-5C288419C818}"/>
    <cellStyle name="Įprastas 5 2 2 5 2_8 priedas" xfId="948" xr:uid="{00000000-0005-0000-0000-0000D9000000}"/>
    <cellStyle name="Įprastas 5 2 2 5 3" xfId="102" xr:uid="{00000000-0005-0000-0000-0000DA000000}"/>
    <cellStyle name="Įprastas 5 2 2 5 3 2" xfId="813" xr:uid="{00000000-0005-0000-0000-0000DB000000}"/>
    <cellStyle name="Įprastas 5 2 2 5 3 2 2" xfId="1539" xr:uid="{63FF1B0B-2E56-4C72-9BB9-A977FB7DE9C4}"/>
    <cellStyle name="Įprastas 5 2 2 5 3 2 3" xfId="3397" xr:uid="{7698A21B-61DC-491F-B940-B44A9A629C35}"/>
    <cellStyle name="Įprastas 5 2 2 5 3 2_Lapas1" xfId="1538" xr:uid="{C5E66F14-5EDE-4584-9D6C-FA81C1C3A67A}"/>
    <cellStyle name="Įprastas 5 2 2 5 3 3" xfId="1540" xr:uid="{A350C48F-3C65-4A57-B229-0C832387E596}"/>
    <cellStyle name="Įprastas 5 2 2 5 3 4" xfId="2706" xr:uid="{52847C72-E7E8-4303-8C64-7743EED58504}"/>
    <cellStyle name="Įprastas 5 2 2 5 3_8 priedas" xfId="1207" xr:uid="{00000000-0005-0000-0000-0000DC000000}"/>
    <cellStyle name="Įprastas 5 2 2 5 4" xfId="525" xr:uid="{00000000-0005-0000-0000-0000DD000000}"/>
    <cellStyle name="Įprastas 5 2 2 5 4 2" xfId="1542" xr:uid="{8E1B8D16-0618-4C01-9AE4-564FC650A640}"/>
    <cellStyle name="Įprastas 5 2 2 5 4 3" xfId="3109" xr:uid="{28E871C4-A771-43EA-89A6-BFDD05C2DBDD}"/>
    <cellStyle name="Įprastas 5 2 2 5 4_Lapas1" xfId="1541" xr:uid="{13D5B311-6676-44DE-A6C4-F95954CB7DE0}"/>
    <cellStyle name="Įprastas 5 2 2 5 5" xfId="1543" xr:uid="{A98DFE69-433E-4381-8915-704E2F7A4686}"/>
    <cellStyle name="Įprastas 5 2 2 5 6" xfId="2704" xr:uid="{1E08FF8E-E29E-4153-B0E0-6B6C5CE005F1}"/>
    <cellStyle name="Įprastas 5 2 2 5_8 priedas" xfId="989" xr:uid="{00000000-0005-0000-0000-0000DE000000}"/>
    <cellStyle name="Įprastas 5 2 2 6" xfId="103" xr:uid="{00000000-0005-0000-0000-0000DF000000}"/>
    <cellStyle name="Įprastas 5 2 2 6 2" xfId="104" xr:uid="{00000000-0005-0000-0000-0000E0000000}"/>
    <cellStyle name="Įprastas 5 2 2 6 2 2" xfId="717" xr:uid="{00000000-0005-0000-0000-0000E1000000}"/>
    <cellStyle name="Įprastas 5 2 2 6 2 2 2" xfId="1545" xr:uid="{90271DAE-A941-4CB6-94ED-D8EE919D0F28}"/>
    <cellStyle name="Įprastas 5 2 2 6 2 2 3" xfId="3301" xr:uid="{9CB854D2-C787-4228-8BBB-87199F74790B}"/>
    <cellStyle name="Įprastas 5 2 2 6 2 2_Lapas1" xfId="1544" xr:uid="{2E036C9E-DE8A-45C0-A948-AF8E89694D7B}"/>
    <cellStyle name="Įprastas 5 2 2 6 2 3" xfId="1546" xr:uid="{EF89C7EB-26EB-4158-8D40-0D7B3341600F}"/>
    <cellStyle name="Įprastas 5 2 2 6 2 4" xfId="2708" xr:uid="{3C98938E-6DAA-4838-8F6B-EF39EFFA91FA}"/>
    <cellStyle name="Įprastas 5 2 2 6 2_8 priedas" xfId="1298" xr:uid="{00000000-0005-0000-0000-0000E2000000}"/>
    <cellStyle name="Įprastas 5 2 2 6 3" xfId="105" xr:uid="{00000000-0005-0000-0000-0000E3000000}"/>
    <cellStyle name="Įprastas 5 2 2 6 3 2" xfId="861" xr:uid="{00000000-0005-0000-0000-0000E4000000}"/>
    <cellStyle name="Įprastas 5 2 2 6 3 2 2" xfId="1548" xr:uid="{854C36DC-F781-45FB-ADBB-97AD1914707B}"/>
    <cellStyle name="Įprastas 5 2 2 6 3 2 3" xfId="3445" xr:uid="{2F798C8F-976B-4478-90E0-240D1C33C848}"/>
    <cellStyle name="Įprastas 5 2 2 6 3 2_Lapas1" xfId="1547" xr:uid="{909D0464-E88E-4F4E-A8DA-DC5D0DC0815F}"/>
    <cellStyle name="Įprastas 5 2 2 6 3 3" xfId="1549" xr:uid="{FBC6C639-70EA-4B30-B150-DF695B814575}"/>
    <cellStyle name="Įprastas 5 2 2 6 3 4" xfId="2709" xr:uid="{5604BD72-77D7-4809-A24D-C4282B3B716F}"/>
    <cellStyle name="Įprastas 5 2 2 6 3_8 priedas" xfId="1161" xr:uid="{00000000-0005-0000-0000-0000E5000000}"/>
    <cellStyle name="Įprastas 5 2 2 6 4" xfId="573" xr:uid="{00000000-0005-0000-0000-0000E6000000}"/>
    <cellStyle name="Įprastas 5 2 2 6 4 2" xfId="1551" xr:uid="{73BD0186-57DC-413B-98CB-3B84CD5E871C}"/>
    <cellStyle name="Įprastas 5 2 2 6 4 3" xfId="3157" xr:uid="{9C128F70-FFA4-46B8-B70F-8601B717647A}"/>
    <cellStyle name="Įprastas 5 2 2 6 4_Lapas1" xfId="1550" xr:uid="{AFCE406B-5C0C-48A1-B946-2C219A71FFC2}"/>
    <cellStyle name="Įprastas 5 2 2 6 5" xfId="1552" xr:uid="{0671EBFA-597D-45BF-93F0-A3C791E637CC}"/>
    <cellStyle name="Įprastas 5 2 2 6 6" xfId="2707" xr:uid="{977E6F8F-0835-4092-9BCB-46FFEC6FBB78}"/>
    <cellStyle name="Įprastas 5 2 2 6_8 priedas" xfId="1073" xr:uid="{00000000-0005-0000-0000-0000E7000000}"/>
    <cellStyle name="Įprastas 5 2 2 7" xfId="106" xr:uid="{00000000-0005-0000-0000-0000E8000000}"/>
    <cellStyle name="Įprastas 5 2 2 7 2" xfId="621" xr:uid="{00000000-0005-0000-0000-0000E9000000}"/>
    <cellStyle name="Įprastas 5 2 2 7 2 2" xfId="1554" xr:uid="{C2F7A0AC-16AF-4821-9098-F430545B4E11}"/>
    <cellStyle name="Įprastas 5 2 2 7 2 3" xfId="3205" xr:uid="{79CAA2FB-64D0-460C-BFB6-B676E6408C8C}"/>
    <cellStyle name="Įprastas 5 2 2 7 2_Lapas1" xfId="1553" xr:uid="{DCB37C9D-0B97-4D6B-B798-877238EECA2F}"/>
    <cellStyle name="Įprastas 5 2 2 7 3" xfId="1555" xr:uid="{F05E32E4-C8FF-44F5-B55B-EB115D02115E}"/>
    <cellStyle name="Įprastas 5 2 2 7 4" xfId="2710" xr:uid="{51524E0E-BBC2-40CA-B58C-3C8407E3FF03}"/>
    <cellStyle name="Įprastas 5 2 2 7_8 priedas" xfId="1026" xr:uid="{00000000-0005-0000-0000-0000EA000000}"/>
    <cellStyle name="Įprastas 5 2 2 8" xfId="107" xr:uid="{00000000-0005-0000-0000-0000EB000000}"/>
    <cellStyle name="Įprastas 5 2 2 8 2" xfId="765" xr:uid="{00000000-0005-0000-0000-0000EC000000}"/>
    <cellStyle name="Įprastas 5 2 2 8 2 2" xfId="1557" xr:uid="{CB3BC03B-55A2-48B7-9E84-DF3EB1F1DC49}"/>
    <cellStyle name="Įprastas 5 2 2 8 2 3" xfId="3349" xr:uid="{84902E56-31EC-46C8-B607-94F407E10C18}"/>
    <cellStyle name="Įprastas 5 2 2 8 2_Lapas1" xfId="1556" xr:uid="{ED3F3362-C469-4823-90C6-300F17CA8FB5}"/>
    <cellStyle name="Įprastas 5 2 2 8 3" xfId="1558" xr:uid="{FA8BAE0D-1001-4D7F-8D47-2EF46A18A667}"/>
    <cellStyle name="Įprastas 5 2 2 8 4" xfId="2711" xr:uid="{1F6E8BEC-DADC-4F08-B037-650801AC1B4C}"/>
    <cellStyle name="Įprastas 5 2 2 8_8 priedas" xfId="1251" xr:uid="{00000000-0005-0000-0000-0000ED000000}"/>
    <cellStyle name="Įprastas 5 2 2 9" xfId="477" xr:uid="{00000000-0005-0000-0000-0000EE000000}"/>
    <cellStyle name="Įprastas 5 2 2 9 2" xfId="1560" xr:uid="{952D6553-D5DB-4814-ADE5-DFB2F2CC365A}"/>
    <cellStyle name="Įprastas 5 2 2 9 3" xfId="3061" xr:uid="{CA761092-D7AD-476D-8C4E-7D9ACBC0EB8E}"/>
    <cellStyle name="Įprastas 5 2 2 9_Lapas1" xfId="1559" xr:uid="{5C417A70-4040-41B4-8D61-3B31A63452E6}"/>
    <cellStyle name="Įprastas 5 2 2_8 priedas" xfId="28" xr:uid="{00000000-0005-0000-0000-0000EF000000}"/>
    <cellStyle name="Įprastas 5 2 3" xfId="16" xr:uid="{00000000-0005-0000-0000-0000F0000000}"/>
    <cellStyle name="Įprastas 5 2 3 10" xfId="1561" xr:uid="{8C4339D6-510D-4843-9E0D-E86FE419D72E}"/>
    <cellStyle name="Įprastas 5 2 3 11" xfId="2630" xr:uid="{C8CBD3A5-2843-401C-A3EA-FE3696512114}"/>
    <cellStyle name="Įprastas 5 2 3 2" xfId="27" xr:uid="{00000000-0005-0000-0000-0000F1000000}"/>
    <cellStyle name="Įprastas 5 2 3 2 10" xfId="2638" xr:uid="{49CBB46A-979D-4971-85C1-745665F8F282}"/>
    <cellStyle name="Įprastas 5 2 3 2 2" xfId="109" xr:uid="{00000000-0005-0000-0000-0000F2000000}"/>
    <cellStyle name="Įprastas 5 2 3 2 2 2" xfId="110" xr:uid="{00000000-0005-0000-0000-0000F3000000}"/>
    <cellStyle name="Įprastas 5 2 3 2 2 2 2" xfId="111" xr:uid="{00000000-0005-0000-0000-0000F4000000}"/>
    <cellStyle name="Įprastas 5 2 3 2 2 2 2 2" xfId="112" xr:uid="{00000000-0005-0000-0000-0000F5000000}"/>
    <cellStyle name="Įprastas 5 2 3 2 2 2 2 2 2" xfId="714" xr:uid="{00000000-0005-0000-0000-0000F6000000}"/>
    <cellStyle name="Įprastas 5 2 3 2 2 2 2 2 2 2" xfId="1563" xr:uid="{2FDF55C8-54E9-49F6-8FE7-371BECBFD249}"/>
    <cellStyle name="Įprastas 5 2 3 2 2 2 2 2 2 3" xfId="3298" xr:uid="{AC30278B-C45E-4C88-9E00-22F87C7DA7B6}"/>
    <cellStyle name="Įprastas 5 2 3 2 2 2 2 2 2_Lapas1" xfId="1562" xr:uid="{9B25CBCA-104A-4B54-8CF6-FD45C5D4DDB9}"/>
    <cellStyle name="Įprastas 5 2 3 2 2 2 2 2 3" xfId="1564" xr:uid="{353BEBB7-EF47-43FF-B38B-2277DEFE6886}"/>
    <cellStyle name="Įprastas 5 2 3 2 2 2 2 2 4" xfId="2715" xr:uid="{F7FE0431-581C-4F4C-BFA3-7B53E8F9E66A}"/>
    <cellStyle name="Įprastas 5 2 3 2 2 2 2 2_8 priedas" xfId="1049" xr:uid="{00000000-0005-0000-0000-0000F7000000}"/>
    <cellStyle name="Įprastas 5 2 3 2 2 2 2 3" xfId="113" xr:uid="{00000000-0005-0000-0000-0000F8000000}"/>
    <cellStyle name="Įprastas 5 2 3 2 2 2 2 3 2" xfId="858" xr:uid="{00000000-0005-0000-0000-0000F9000000}"/>
    <cellStyle name="Įprastas 5 2 3 2 2 2 2 3 2 2" xfId="1566" xr:uid="{E8F915FD-48B7-48FA-B1A4-FA772D9AA7B2}"/>
    <cellStyle name="Įprastas 5 2 3 2 2 2 2 3 2 3" xfId="3442" xr:uid="{CDEDDFB2-DF54-41B0-AE92-83F6BADFA9C4}"/>
    <cellStyle name="Įprastas 5 2 3 2 2 2 2 3 2_Lapas1" xfId="1565" xr:uid="{FDB9B797-1989-4955-9AEA-E2292BDCC16C}"/>
    <cellStyle name="Įprastas 5 2 3 2 2 2 2 3 3" xfId="1567" xr:uid="{75EE8316-EFAD-47BD-8C6C-B272C4EEFE56}"/>
    <cellStyle name="Įprastas 5 2 3 2 2 2 2 3 4" xfId="2716" xr:uid="{FD5D9BB3-423A-452A-89E0-1E7BD48CD5D9}"/>
    <cellStyle name="Įprastas 5 2 3 2 2 2 2 3_8 priedas" xfId="1273" xr:uid="{00000000-0005-0000-0000-0000FA000000}"/>
    <cellStyle name="Įprastas 5 2 3 2 2 2 2 4" xfId="570" xr:uid="{00000000-0005-0000-0000-0000FB000000}"/>
    <cellStyle name="Įprastas 5 2 3 2 2 2 2 4 2" xfId="1569" xr:uid="{98B37BB1-1394-45C4-A8AE-B50F8EE9B140}"/>
    <cellStyle name="Įprastas 5 2 3 2 2 2 2 4 3" xfId="3154" xr:uid="{169BE634-1D03-4101-B405-25A1E66D85CF}"/>
    <cellStyle name="Įprastas 5 2 3 2 2 2 2 4_Lapas1" xfId="1568" xr:uid="{DEAB76F7-773B-4649-A573-26B74E291AF0}"/>
    <cellStyle name="Įprastas 5 2 3 2 2 2 2 5" xfId="1570" xr:uid="{3041B408-1CDA-4224-83EA-B6CC4D2DE0A2}"/>
    <cellStyle name="Įprastas 5 2 3 2 2 2 2 6" xfId="2714" xr:uid="{2B497484-4BC5-4330-BAE6-5D3E8AA6A974}"/>
    <cellStyle name="Įprastas 5 2 3 2 2 2 2_8 priedas" xfId="1185" xr:uid="{00000000-0005-0000-0000-0000FC000000}"/>
    <cellStyle name="Įprastas 5 2 3 2 2 2 3" xfId="114" xr:uid="{00000000-0005-0000-0000-0000FD000000}"/>
    <cellStyle name="Įprastas 5 2 3 2 2 2 3 2" xfId="115" xr:uid="{00000000-0005-0000-0000-0000FE000000}"/>
    <cellStyle name="Įprastas 5 2 3 2 2 2 3 2 2" xfId="762" xr:uid="{00000000-0005-0000-0000-0000FF000000}"/>
    <cellStyle name="Įprastas 5 2 3 2 2 2 3 2 2 2" xfId="1572" xr:uid="{A0C12A35-8872-494C-AA96-59839C4162B1}"/>
    <cellStyle name="Įprastas 5 2 3 2 2 2 3 2 2 3" xfId="3346" xr:uid="{9EAC38AF-9C02-4E3B-A9BC-921725178444}"/>
    <cellStyle name="Įprastas 5 2 3 2 2 2 3 2 2_Lapas1" xfId="1571" xr:uid="{73249CE1-4DE0-4AFC-BF3B-D43760BF1F67}"/>
    <cellStyle name="Įprastas 5 2 3 2 2 2 3 2 3" xfId="1573" xr:uid="{D386881F-BE2E-48B2-81D1-5F05E23A5004}"/>
    <cellStyle name="Įprastas 5 2 3 2 2 2 3 2 4" xfId="2718" xr:uid="{EA5884F4-ACCE-4C4B-B623-A847FDD921C7}"/>
    <cellStyle name="Įprastas 5 2 3 2 2 2 3 2_8 priedas" xfId="1001" xr:uid="{00000000-0005-0000-0000-000000010000}"/>
    <cellStyle name="Įprastas 5 2 3 2 2 2 3 3" xfId="116" xr:uid="{00000000-0005-0000-0000-000001010000}"/>
    <cellStyle name="Įprastas 5 2 3 2 2 2 3 3 2" xfId="906" xr:uid="{00000000-0005-0000-0000-000002010000}"/>
    <cellStyle name="Įprastas 5 2 3 2 2 2 3 3 2 2" xfId="1575" xr:uid="{7A65F1DB-0CA8-4BC2-AF82-CB3E7047F44F}"/>
    <cellStyle name="Įprastas 5 2 3 2 2 2 3 3 2 3" xfId="3490" xr:uid="{A639E893-B79D-4414-A92D-D3D04B911859}"/>
    <cellStyle name="Įprastas 5 2 3 2 2 2 3 3 2_Lapas1" xfId="1574" xr:uid="{6F36A269-8430-4D67-9DB7-CC6508794203}"/>
    <cellStyle name="Įprastas 5 2 3 2 2 2 3 3 3" xfId="1576" xr:uid="{D2B3FDFE-65FD-4B79-960C-567C3B3AFC0D}"/>
    <cellStyle name="Įprastas 5 2 3 2 2 2 3 3 4" xfId="2719" xr:uid="{17BF0C60-F77E-4DA8-BC00-B3B8A8D6483F}"/>
    <cellStyle name="Įprastas 5 2 3 2 2 2 3 3_8 priedas" xfId="960" xr:uid="{00000000-0005-0000-0000-000003010000}"/>
    <cellStyle name="Įprastas 5 2 3 2 2 2 3 4" xfId="618" xr:uid="{00000000-0005-0000-0000-000004010000}"/>
    <cellStyle name="Įprastas 5 2 3 2 2 2 3 4 2" xfId="1578" xr:uid="{5C545712-4DD2-4017-836A-8D9E95A23FF0}"/>
    <cellStyle name="Įprastas 5 2 3 2 2 2 3 4 3" xfId="3202" xr:uid="{CC9242BB-55CB-4853-8DEF-3C57BFD741DF}"/>
    <cellStyle name="Įprastas 5 2 3 2 2 2 3 4_Lapas1" xfId="1577" xr:uid="{BCB78EA0-1CB9-4591-86A1-2A066DFC21CB}"/>
    <cellStyle name="Įprastas 5 2 3 2 2 2 3 5" xfId="1579" xr:uid="{C41A377C-EC80-4C2A-B852-4E2F08885B22}"/>
    <cellStyle name="Įprastas 5 2 3 2 2 2 3 6" xfId="2717" xr:uid="{DAA7C5E9-C41A-47C3-84A7-B1A2B44C3D08}"/>
    <cellStyle name="Įprastas 5 2 3 2 2 2 3_8 priedas" xfId="1137" xr:uid="{00000000-0005-0000-0000-000005010000}"/>
    <cellStyle name="Įprastas 5 2 3 2 2 2 4" xfId="117" xr:uid="{00000000-0005-0000-0000-000006010000}"/>
    <cellStyle name="Įprastas 5 2 3 2 2 2 4 2" xfId="666" xr:uid="{00000000-0005-0000-0000-000007010000}"/>
    <cellStyle name="Įprastas 5 2 3 2 2 2 4 2 2" xfId="1581" xr:uid="{067DA62D-64E4-478F-AC2A-3221DA527E59}"/>
    <cellStyle name="Įprastas 5 2 3 2 2 2 4 2 3" xfId="3250" xr:uid="{9AE4625A-01A8-414C-B76E-3D61D70BE462}"/>
    <cellStyle name="Įprastas 5 2 3 2 2 2 4 2_Lapas1" xfId="1580" xr:uid="{5A9C05F7-DD80-40B7-ACE7-F250A034D1FE}"/>
    <cellStyle name="Įprastas 5 2 3 2 2 2 4 3" xfId="1582" xr:uid="{B625DB42-D73C-4DA5-A0D0-9F2B812B5DF5}"/>
    <cellStyle name="Įprastas 5 2 3 2 2 2 4 4" xfId="2720" xr:uid="{4154322A-D2EB-4002-B1E6-746CB18D626E}"/>
    <cellStyle name="Įprastas 5 2 3 2 2 2 4_8 priedas" xfId="931" xr:uid="{00000000-0005-0000-0000-000008010000}"/>
    <cellStyle name="Įprastas 5 2 3 2 2 2 5" xfId="118" xr:uid="{00000000-0005-0000-0000-000009010000}"/>
    <cellStyle name="Įprastas 5 2 3 2 2 2 5 2" xfId="810" xr:uid="{00000000-0005-0000-0000-00000A010000}"/>
    <cellStyle name="Įprastas 5 2 3 2 2 2 5 2 2" xfId="1584" xr:uid="{BABE4057-69CA-43CF-8EF1-AFFAA833DC1E}"/>
    <cellStyle name="Įprastas 5 2 3 2 2 2 5 2 3" xfId="3394" xr:uid="{8F005152-135B-43E7-BD6F-FF4FFC2C9B98}"/>
    <cellStyle name="Įprastas 5 2 3 2 2 2 5 2_Lapas1" xfId="1583" xr:uid="{42144D69-DBA3-4608-823D-32091615AC5E}"/>
    <cellStyle name="Įprastas 5 2 3 2 2 2 5 3" xfId="1585" xr:uid="{EC43C09A-AB7C-4678-853A-8A67CF865C0F}"/>
    <cellStyle name="Įprastas 5 2 3 2 2 2 5 4" xfId="2721" xr:uid="{0470E550-315B-418D-9782-94E352337D25}"/>
    <cellStyle name="Įprastas 5 2 3 2 2 2 5_8 priedas" xfId="914" xr:uid="{00000000-0005-0000-0000-00000B010000}"/>
    <cellStyle name="Įprastas 5 2 3 2 2 2 6" xfId="522" xr:uid="{00000000-0005-0000-0000-00000C010000}"/>
    <cellStyle name="Įprastas 5 2 3 2 2 2 6 2" xfId="1587" xr:uid="{10401FC5-AC4D-44E2-86DE-391961BE6A74}"/>
    <cellStyle name="Įprastas 5 2 3 2 2 2 6 3" xfId="3106" xr:uid="{F04A13B2-BA20-4FFF-8C12-E318808E5036}"/>
    <cellStyle name="Įprastas 5 2 3 2 2 2 6_Lapas1" xfId="1586" xr:uid="{8953B90B-5DB9-434F-9111-EED0D7901F05}"/>
    <cellStyle name="Įprastas 5 2 3 2 2 2 7" xfId="1588" xr:uid="{DEB47A00-A255-4A6F-837A-B781DE0F6A80}"/>
    <cellStyle name="Įprastas 5 2 3 2 2 2 8" xfId="2713" xr:uid="{CAF1B596-70EE-4FB6-B12B-63EBA01B88C5}"/>
    <cellStyle name="Įprastas 5 2 3 2 2 2_8 priedas" xfId="1322" xr:uid="{00000000-0005-0000-0000-00000D010000}"/>
    <cellStyle name="Įprastas 5 2 3 2 2 3" xfId="119" xr:uid="{00000000-0005-0000-0000-00000E010000}"/>
    <cellStyle name="Įprastas 5 2 3 2 2 3 2" xfId="120" xr:uid="{00000000-0005-0000-0000-00000F010000}"/>
    <cellStyle name="Įprastas 5 2 3 2 2 3 2 2" xfId="690" xr:uid="{00000000-0005-0000-0000-000010010000}"/>
    <cellStyle name="Įprastas 5 2 3 2 2 3 2 2 2" xfId="1590" xr:uid="{784E0309-7F97-454F-AE90-D89BCA1760F0}"/>
    <cellStyle name="Įprastas 5 2 3 2 2 3 2 2 3" xfId="3274" xr:uid="{9FCB59BF-B3C2-48E3-90AA-7BCFCA597FB0}"/>
    <cellStyle name="Įprastas 5 2 3 2 2 3 2 2_Lapas1" xfId="1589" xr:uid="{2C07E724-C555-4988-B4B5-52C75F91617E}"/>
    <cellStyle name="Įprastas 5 2 3 2 2 3 2 3" xfId="1591" xr:uid="{C5E0112F-4B89-4FEE-BADE-C2704A1DF10A}"/>
    <cellStyle name="Įprastas 5 2 3 2 2 3 2 4" xfId="2723" xr:uid="{9F13126E-B77A-4F1B-8BD4-CE439C9A7E69}"/>
    <cellStyle name="Įprastas 5 2 3 2 2 3 2_8 priedas" xfId="1193" xr:uid="{00000000-0005-0000-0000-000011010000}"/>
    <cellStyle name="Įprastas 5 2 3 2 2 3 3" xfId="121" xr:uid="{00000000-0005-0000-0000-000012010000}"/>
    <cellStyle name="Įprastas 5 2 3 2 2 3 3 2" xfId="834" xr:uid="{00000000-0005-0000-0000-000013010000}"/>
    <cellStyle name="Įprastas 5 2 3 2 2 3 3 2 2" xfId="1593" xr:uid="{AEFE735E-E47B-4CA9-BD73-ED8AF91D96BB}"/>
    <cellStyle name="Įprastas 5 2 3 2 2 3 3 2 3" xfId="3418" xr:uid="{72F47ABE-386F-429E-B6A0-F9C1D35AE030}"/>
    <cellStyle name="Įprastas 5 2 3 2 2 3 3 2_Lapas1" xfId="1592" xr:uid="{D42CF898-C6EC-4C89-A1CE-1494DC7A3F7C}"/>
    <cellStyle name="Įprastas 5 2 3 2 2 3 3 3" xfId="1594" xr:uid="{29B3F05C-00BC-4582-93D0-874B2A08A66E}"/>
    <cellStyle name="Įprastas 5 2 3 2 2 3 3 4" xfId="2724" xr:uid="{1118B7BB-F5B9-4C7A-99E6-111317AB9B25}"/>
    <cellStyle name="Įprastas 5 2 3 2 2 3 3_8 priedas" xfId="1058" xr:uid="{00000000-0005-0000-0000-000014010000}"/>
    <cellStyle name="Įprastas 5 2 3 2 2 3 4" xfId="546" xr:uid="{00000000-0005-0000-0000-000015010000}"/>
    <cellStyle name="Įprastas 5 2 3 2 2 3 4 2" xfId="1596" xr:uid="{AE8290B9-180F-486C-AD7C-41F0CCCB1420}"/>
    <cellStyle name="Įprastas 5 2 3 2 2 3 4 3" xfId="3130" xr:uid="{2EF55C76-8AE2-49DE-A96B-DB9E7C46A980}"/>
    <cellStyle name="Įprastas 5 2 3 2 2 3 4_Lapas1" xfId="1595" xr:uid="{74EA96EF-22E4-4B1E-B510-457EF8DA2FFB}"/>
    <cellStyle name="Įprastas 5 2 3 2 2 3 5" xfId="1597" xr:uid="{20A9ED75-180B-42DD-B1B3-C680C1DFD404}"/>
    <cellStyle name="Įprastas 5 2 3 2 2 3 6" xfId="2722" xr:uid="{1A4BB52B-8933-4666-8EBE-B397F3FCAF53}"/>
    <cellStyle name="Įprastas 5 2 3 2 2 3_8 priedas" xfId="922" xr:uid="{00000000-0005-0000-0000-000016010000}"/>
    <cellStyle name="Įprastas 5 2 3 2 2 4" xfId="122" xr:uid="{00000000-0005-0000-0000-000017010000}"/>
    <cellStyle name="Įprastas 5 2 3 2 2 4 2" xfId="123" xr:uid="{00000000-0005-0000-0000-000018010000}"/>
    <cellStyle name="Įprastas 5 2 3 2 2 4 2 2" xfId="738" xr:uid="{00000000-0005-0000-0000-000019010000}"/>
    <cellStyle name="Įprastas 5 2 3 2 2 4 2 2 2" xfId="1599" xr:uid="{DBAA0D86-77B2-41F4-A4F4-1E5947B47FAA}"/>
    <cellStyle name="Įprastas 5 2 3 2 2 4 2 2 3" xfId="3322" xr:uid="{16A290CB-B2FD-4B7E-B055-6D5D8C5BDD83}"/>
    <cellStyle name="Įprastas 5 2 3 2 2 4 2 2_Lapas1" xfId="1598" xr:uid="{2D834E99-EF55-479E-A6F5-72D4224DD961}"/>
    <cellStyle name="Įprastas 5 2 3 2 2 4 2 3" xfId="1600" xr:uid="{ABEEAC64-CB30-4B09-9EBD-60DDE9833F13}"/>
    <cellStyle name="Įprastas 5 2 3 2 2 4 2 4" xfId="2726" xr:uid="{7E2407BD-5557-434A-994E-92E52D19AEEC}"/>
    <cellStyle name="Įprastas 5 2 3 2 2 4 2_8 priedas" xfId="1147" xr:uid="{00000000-0005-0000-0000-00001A010000}"/>
    <cellStyle name="Įprastas 5 2 3 2 2 4 3" xfId="124" xr:uid="{00000000-0005-0000-0000-00001B010000}"/>
    <cellStyle name="Įprastas 5 2 3 2 2 4 3 2" xfId="882" xr:uid="{00000000-0005-0000-0000-00001C010000}"/>
    <cellStyle name="Įprastas 5 2 3 2 2 4 3 2 2" xfId="1602" xr:uid="{AE3172D0-9D3D-450E-ABD0-16D7BF1935D5}"/>
    <cellStyle name="Įprastas 5 2 3 2 2 4 3 2 3" xfId="3466" xr:uid="{391B2D18-0FAA-49E7-B102-B520BE28302B}"/>
    <cellStyle name="Įprastas 5 2 3 2 2 4 3 2_Lapas1" xfId="1601" xr:uid="{87F95571-C1D4-47E4-8D43-0858A44AC533}"/>
    <cellStyle name="Įprastas 5 2 3 2 2 4 3 3" xfId="1603" xr:uid="{D1729C9D-D029-467C-A900-45F92B27BDA6}"/>
    <cellStyle name="Įprastas 5 2 3 2 2 4 3 4" xfId="2727" xr:uid="{D02F8112-7047-444F-B21C-4C67A6A95A94}"/>
    <cellStyle name="Įprastas 5 2 3 2 2 4 3_8 priedas" xfId="1011" xr:uid="{00000000-0005-0000-0000-00001D010000}"/>
    <cellStyle name="Įprastas 5 2 3 2 2 4 4" xfId="594" xr:uid="{00000000-0005-0000-0000-00001E010000}"/>
    <cellStyle name="Įprastas 5 2 3 2 2 4 4 2" xfId="1605" xr:uid="{84E129FB-ECDE-4795-8342-3521DD0422DE}"/>
    <cellStyle name="Įprastas 5 2 3 2 2 4 4 3" xfId="3178" xr:uid="{0F457E3C-2C5B-4C3F-95BF-E40EE65E649D}"/>
    <cellStyle name="Įprastas 5 2 3 2 2 4 4_Lapas1" xfId="1604" xr:uid="{96CF24F5-C89E-41C3-A05C-48E4CC83AB1F}"/>
    <cellStyle name="Įprastas 5 2 3 2 2 4 5" xfId="1606" xr:uid="{620DE9CC-5C67-469F-A8C7-7FF9274F2AF7}"/>
    <cellStyle name="Įprastas 5 2 3 2 2 4 6" xfId="2725" xr:uid="{07AA8D92-E49C-4C80-ADAF-BBCAD8EFB683}"/>
    <cellStyle name="Įprastas 5 2 3 2 2 4_8 priedas" xfId="1283" xr:uid="{00000000-0005-0000-0000-00001F010000}"/>
    <cellStyle name="Įprastas 5 2 3 2 2 5" xfId="125" xr:uid="{00000000-0005-0000-0000-000020010000}"/>
    <cellStyle name="Įprastas 5 2 3 2 2 5 2" xfId="642" xr:uid="{00000000-0005-0000-0000-000021010000}"/>
    <cellStyle name="Įprastas 5 2 3 2 2 5 2 2" xfId="1608" xr:uid="{7D627570-234A-4476-903F-970D57FB7CA1}"/>
    <cellStyle name="Įprastas 5 2 3 2 2 5 2 3" xfId="3226" xr:uid="{6BEE46D0-7EA8-46E7-A76A-1C93C8F7D328}"/>
    <cellStyle name="Įprastas 5 2 3 2 2 5 2_Lapas1" xfId="1607" xr:uid="{E8D954F1-476D-43BB-B691-A9394F68972F}"/>
    <cellStyle name="Įprastas 5 2 3 2 2 5 3" xfId="1609" xr:uid="{BE8C7687-FBCC-4DA4-BE65-77EDD2DF8D48}"/>
    <cellStyle name="Įprastas 5 2 3 2 2 5 4" xfId="2728" xr:uid="{92D0E1E2-1243-44E2-A8BD-5055038C93EF}"/>
    <cellStyle name="Įprastas 5 2 3 2 2 5_8 priedas" xfId="1237" xr:uid="{00000000-0005-0000-0000-000022010000}"/>
    <cellStyle name="Įprastas 5 2 3 2 2 6" xfId="126" xr:uid="{00000000-0005-0000-0000-000023010000}"/>
    <cellStyle name="Įprastas 5 2 3 2 2 6 2" xfId="786" xr:uid="{00000000-0005-0000-0000-000024010000}"/>
    <cellStyle name="Įprastas 5 2 3 2 2 6 2 2" xfId="1611" xr:uid="{02CB1FDC-2D71-43FB-9161-EAF2E9D007DB}"/>
    <cellStyle name="Įprastas 5 2 3 2 2 6 2 3" xfId="3370" xr:uid="{CA7527DC-025A-4811-8D66-2C6796EEDAFF}"/>
    <cellStyle name="Įprastas 5 2 3 2 2 6 2_Lapas1" xfId="1610" xr:uid="{8691BDF6-9C3D-4813-A0A6-BDBC37879A00}"/>
    <cellStyle name="Įprastas 5 2 3 2 2 6 3" xfId="1612" xr:uid="{A69C6E72-0011-4B23-9C43-AEF97A0E7593}"/>
    <cellStyle name="Įprastas 5 2 3 2 2 6 4" xfId="2729" xr:uid="{9CEE2AF6-1280-4105-A35A-F0ECD6E14097}"/>
    <cellStyle name="Įprastas 5 2 3 2 2 6_8 priedas" xfId="1107" xr:uid="{00000000-0005-0000-0000-000025010000}"/>
    <cellStyle name="Įprastas 5 2 3 2 2 7" xfId="498" xr:uid="{00000000-0005-0000-0000-000026010000}"/>
    <cellStyle name="Įprastas 5 2 3 2 2 7 2" xfId="1614" xr:uid="{ECE48E9E-A975-4342-BB22-DAA2805B3F09}"/>
    <cellStyle name="Įprastas 5 2 3 2 2 7 3" xfId="3082" xr:uid="{4A56114E-93B1-46C6-AA10-C6C2167A4E25}"/>
    <cellStyle name="Įprastas 5 2 3 2 2 7_Lapas1" xfId="1613" xr:uid="{BC357719-0ABA-498A-A6C2-9CDD5CC7E193}"/>
    <cellStyle name="Įprastas 5 2 3 2 2 8" xfId="1615" xr:uid="{350DBAC9-5ABB-4441-9AF1-BE0BA92065C9}"/>
    <cellStyle name="Įprastas 5 2 3 2 2 9" xfId="2712" xr:uid="{4E808283-AD39-4AB3-9B74-E88EFF6406F8}"/>
    <cellStyle name="Įprastas 5 2 3 2 2_8 priedas" xfId="1097" xr:uid="{00000000-0005-0000-0000-000027010000}"/>
    <cellStyle name="Įprastas 5 2 3 2 3" xfId="127" xr:uid="{00000000-0005-0000-0000-000028010000}"/>
    <cellStyle name="Įprastas 5 2 3 2 3 2" xfId="128" xr:uid="{00000000-0005-0000-0000-000029010000}"/>
    <cellStyle name="Įprastas 5 2 3 2 3 2 2" xfId="129" xr:uid="{00000000-0005-0000-0000-00002A010000}"/>
    <cellStyle name="Įprastas 5 2 3 2 3 2 2 2" xfId="702" xr:uid="{00000000-0005-0000-0000-00002B010000}"/>
    <cellStyle name="Įprastas 5 2 3 2 3 2 2 2 2" xfId="1617" xr:uid="{54B011ED-460E-474C-809A-9F6F4248D5D1}"/>
    <cellStyle name="Įprastas 5 2 3 2 3 2 2 2 3" xfId="3286" xr:uid="{F38BEC82-8FAB-46C7-B05B-37EAAEC4FF8A}"/>
    <cellStyle name="Įprastas 5 2 3 2 3 2 2 2_Lapas1" xfId="1616" xr:uid="{1C6E18E2-CFA3-4673-86AE-B666ED0B78E3}"/>
    <cellStyle name="Įprastas 5 2 3 2 3 2 2 3" xfId="1618" xr:uid="{4FE23272-7683-445F-864E-B09DC64BA8AC}"/>
    <cellStyle name="Įprastas 5 2 3 2 3 2 2 4" xfId="2732" xr:uid="{5108D32F-4D44-4C6F-9F96-D125ED108774}"/>
    <cellStyle name="Įprastas 5 2 3 2 3 2 2_8 priedas" xfId="1084" xr:uid="{00000000-0005-0000-0000-00002C010000}"/>
    <cellStyle name="Įprastas 5 2 3 2 3 2 3" xfId="130" xr:uid="{00000000-0005-0000-0000-00002D010000}"/>
    <cellStyle name="Įprastas 5 2 3 2 3 2 3 2" xfId="846" xr:uid="{00000000-0005-0000-0000-00002E010000}"/>
    <cellStyle name="Įprastas 5 2 3 2 3 2 3 2 2" xfId="1620" xr:uid="{48558B70-CF6C-47F4-AB77-75EAD7347E06}"/>
    <cellStyle name="Įprastas 5 2 3 2 3 2 3 2 3" xfId="3430" xr:uid="{5AA8F158-3A32-4080-A2F8-37F3B53E945F}"/>
    <cellStyle name="Įprastas 5 2 3 2 3 2 3 2_Lapas1" xfId="1619" xr:uid="{F088C2EA-7A28-447F-97AF-1AA11859E610}"/>
    <cellStyle name="Įprastas 5 2 3 2 3 2 3 3" xfId="1621" xr:uid="{D1446EC4-D213-457E-9BDD-51BA55B13624}"/>
    <cellStyle name="Įprastas 5 2 3 2 3 2 3 4" xfId="2733" xr:uid="{AEBCB276-3B45-4B34-A2D9-A17986668AEF}"/>
    <cellStyle name="Įprastas 5 2 3 2 3 2 3_8 priedas" xfId="1309" xr:uid="{00000000-0005-0000-0000-00002F010000}"/>
    <cellStyle name="Įprastas 5 2 3 2 3 2 4" xfId="558" xr:uid="{00000000-0005-0000-0000-000030010000}"/>
    <cellStyle name="Įprastas 5 2 3 2 3 2 4 2" xfId="1623" xr:uid="{71A9F61F-02FA-452F-922C-E36243B0E67D}"/>
    <cellStyle name="Įprastas 5 2 3 2 3 2 4 3" xfId="3142" xr:uid="{DF2527BF-BEA1-4F97-83E8-E9C9A51CDCEE}"/>
    <cellStyle name="Įprastas 5 2 3 2 3 2 4_Lapas1" xfId="1622" xr:uid="{64B4DCB0-91A9-48F0-805E-2A5BC67615F3}"/>
    <cellStyle name="Įprastas 5 2 3 2 3 2 5" xfId="1624" xr:uid="{2FD2A6FA-91A2-426C-813A-10241DFB713B}"/>
    <cellStyle name="Įprastas 5 2 3 2 3 2 6" xfId="2731" xr:uid="{2FC7B26E-BAA6-4B75-A3D7-E29943385A8A}"/>
    <cellStyle name="Įprastas 5 2 3 2 3 2_8 priedas" xfId="1218" xr:uid="{00000000-0005-0000-0000-000031010000}"/>
    <cellStyle name="Įprastas 5 2 3 2 3 3" xfId="131" xr:uid="{00000000-0005-0000-0000-000032010000}"/>
    <cellStyle name="Įprastas 5 2 3 2 3 3 2" xfId="132" xr:uid="{00000000-0005-0000-0000-000033010000}"/>
    <cellStyle name="Įprastas 5 2 3 2 3 3 2 2" xfId="750" xr:uid="{00000000-0005-0000-0000-000034010000}"/>
    <cellStyle name="Įprastas 5 2 3 2 3 3 2 2 2" xfId="1626" xr:uid="{226F5398-D5E2-490E-AA8B-092EB00AA3BB}"/>
    <cellStyle name="Įprastas 5 2 3 2 3 3 2 2 3" xfId="3334" xr:uid="{E7E37938-F82B-4572-A86F-8BB5EAA2D0F7}"/>
    <cellStyle name="Įprastas 5 2 3 2 3 3 2 2_Lapas1" xfId="1625" xr:uid="{7F9B6613-3917-45F4-84C2-F59E9F333EC8}"/>
    <cellStyle name="Įprastas 5 2 3 2 3 3 2 3" xfId="1627" xr:uid="{EA6B60B9-C658-4E39-B119-EA16AF6BA1DC}"/>
    <cellStyle name="Įprastas 5 2 3 2 3 3 2 4" xfId="2735" xr:uid="{BA1C556F-7BEC-4B9F-8661-C4EC3E6F9E01}"/>
    <cellStyle name="Įprastas 5 2 3 2 3 3 2_8 priedas" xfId="1036" xr:uid="{00000000-0005-0000-0000-000035010000}"/>
    <cellStyle name="Įprastas 5 2 3 2 3 3 3" xfId="133" xr:uid="{00000000-0005-0000-0000-000036010000}"/>
    <cellStyle name="Įprastas 5 2 3 2 3 3 3 2" xfId="894" xr:uid="{00000000-0005-0000-0000-000037010000}"/>
    <cellStyle name="Įprastas 5 2 3 2 3 3 3 2 2" xfId="1629" xr:uid="{ADF8483F-57BC-4980-8D7C-89D24F411A5C}"/>
    <cellStyle name="Įprastas 5 2 3 2 3 3 3 2 3" xfId="3478" xr:uid="{3460F309-A108-4890-BCCC-8364D268919D}"/>
    <cellStyle name="Įprastas 5 2 3 2 3 3 3 2_Lapas1" xfId="1628" xr:uid="{DBBA9384-1D92-4308-9073-A234F70AD1D8}"/>
    <cellStyle name="Įprastas 5 2 3 2 3 3 3 3" xfId="1630" xr:uid="{6CA48292-C9CE-484C-BB26-3D389790748D}"/>
    <cellStyle name="Įprastas 5 2 3 2 3 3 3 4" xfId="2736" xr:uid="{3DA0D04B-F31F-44E8-99AF-2AC1532E075A}"/>
    <cellStyle name="Įprastas 5 2 3 2 3 3 3_8 priedas" xfId="1260" xr:uid="{00000000-0005-0000-0000-000038010000}"/>
    <cellStyle name="Įprastas 5 2 3 2 3 3 4" xfId="606" xr:uid="{00000000-0005-0000-0000-000039010000}"/>
    <cellStyle name="Įprastas 5 2 3 2 3 3 4 2" xfId="1632" xr:uid="{F93D9C04-4B53-418D-8681-1D3348B259C8}"/>
    <cellStyle name="Įprastas 5 2 3 2 3 3 4 3" xfId="3190" xr:uid="{92C232CE-FFE4-47B0-9757-0CA9FB095E53}"/>
    <cellStyle name="Įprastas 5 2 3 2 3 3 4_Lapas1" xfId="1631" xr:uid="{D76D5DDE-EF01-40AB-AC9E-0274E611896C}"/>
    <cellStyle name="Įprastas 5 2 3 2 3 3 5" xfId="1633" xr:uid="{5008FAD8-F390-4DFB-9835-A639F1910F08}"/>
    <cellStyle name="Įprastas 5 2 3 2 3 3 6" xfId="2734" xr:uid="{E72AA9B2-1A3D-4D03-9DE8-057664598BA0}"/>
    <cellStyle name="Įprastas 5 2 3 2 3 3_8 priedas" xfId="1172" xr:uid="{00000000-0005-0000-0000-00003A010000}"/>
    <cellStyle name="Įprastas 5 2 3 2 3 4" xfId="134" xr:uid="{00000000-0005-0000-0000-00003B010000}"/>
    <cellStyle name="Įprastas 5 2 3 2 3 4 2" xfId="654" xr:uid="{00000000-0005-0000-0000-00003C010000}"/>
    <cellStyle name="Įprastas 5 2 3 2 3 4 2 2" xfId="1635" xr:uid="{307B8308-2B76-49EE-9760-41DC6D5D0C90}"/>
    <cellStyle name="Įprastas 5 2 3 2 3 4 2 3" xfId="3238" xr:uid="{5E3B4A68-2752-4116-B623-3CCFC4008A9F}"/>
    <cellStyle name="Įprastas 5 2 3 2 3 4 2_Lapas1" xfId="1634" xr:uid="{4FD575AB-51DE-4F54-9F33-08111663824C}"/>
    <cellStyle name="Įprastas 5 2 3 2 3 4 3" xfId="1636" xr:uid="{69D5A781-98EB-40B8-9A4D-18C6174BB8FF}"/>
    <cellStyle name="Įprastas 5 2 3 2 3 4 4" xfId="2737" xr:uid="{D5322E33-20B7-4070-A075-EC1B9403BD13}"/>
    <cellStyle name="Įprastas 5 2 3 2 3 4_8 priedas" xfId="1124" xr:uid="{00000000-0005-0000-0000-00003D010000}"/>
    <cellStyle name="Įprastas 5 2 3 2 3 5" xfId="135" xr:uid="{00000000-0005-0000-0000-00003E010000}"/>
    <cellStyle name="Įprastas 5 2 3 2 3 5 2" xfId="798" xr:uid="{00000000-0005-0000-0000-00003F010000}"/>
    <cellStyle name="Įprastas 5 2 3 2 3 5 2 2" xfId="1638" xr:uid="{BCAD8C0C-2CF3-474C-A609-E3FA1B273E63}"/>
    <cellStyle name="Įprastas 5 2 3 2 3 5 2 3" xfId="3382" xr:uid="{078AF77F-5214-4B42-83EE-410FBF7B519D}"/>
    <cellStyle name="Įprastas 5 2 3 2 3 5 2_Lapas1" xfId="1637" xr:uid="{6A163C63-9BB1-4AE9-806F-A1C88B6FFE9B}"/>
    <cellStyle name="Įprastas 5 2 3 2 3 5 3" xfId="1639" xr:uid="{8C1219BB-FE79-48EE-A27B-8B8F56E6FB9C}"/>
    <cellStyle name="Įprastas 5 2 3 2 3 5 4" xfId="2738" xr:uid="{4A4CC93D-81A0-42C4-86FF-87C3F6443025}"/>
    <cellStyle name="Įprastas 5 2 3 2 3 5_8 priedas" xfId="988" xr:uid="{00000000-0005-0000-0000-000040010000}"/>
    <cellStyle name="Įprastas 5 2 3 2 3 6" xfId="510" xr:uid="{00000000-0005-0000-0000-000041010000}"/>
    <cellStyle name="Įprastas 5 2 3 2 3 6 2" xfId="1641" xr:uid="{0FCD140C-3206-489B-BAC8-F32AEA1EF4C7}"/>
    <cellStyle name="Įprastas 5 2 3 2 3 6 3" xfId="3094" xr:uid="{FCF54184-C04E-4622-A4F0-C1A9890706C6}"/>
    <cellStyle name="Įprastas 5 2 3 2 3 6_Lapas1" xfId="1640" xr:uid="{C632CA24-2077-4DDE-A140-9CC4C94218DD}"/>
    <cellStyle name="Įprastas 5 2 3 2 3 7" xfId="1642" xr:uid="{DE120B5C-71FA-4A5B-B656-8FE606E5451C}"/>
    <cellStyle name="Įprastas 5 2 3 2 3 8" xfId="2730" xr:uid="{BF35F352-BDA2-451B-A17A-C911E1E4CA9A}"/>
    <cellStyle name="Įprastas 5 2 3 2 3_8 priedas" xfId="970" xr:uid="{00000000-0005-0000-0000-000042010000}"/>
    <cellStyle name="Įprastas 5 2 3 2 4" xfId="136" xr:uid="{00000000-0005-0000-0000-000043010000}"/>
    <cellStyle name="Įprastas 5 2 3 2 4 2" xfId="137" xr:uid="{00000000-0005-0000-0000-000044010000}"/>
    <cellStyle name="Įprastas 5 2 3 2 4 2 2" xfId="678" xr:uid="{00000000-0005-0000-0000-000045010000}"/>
    <cellStyle name="Įprastas 5 2 3 2 4 2 2 2" xfId="1644" xr:uid="{75D3D197-76F9-46BA-83C8-F2F5887330CF}"/>
    <cellStyle name="Įprastas 5 2 3 2 4 2 2 3" xfId="3262" xr:uid="{4BA66024-7034-4D74-9372-1FDFF790C341}"/>
    <cellStyle name="Įprastas 5 2 3 2 4 2 2_Lapas1" xfId="1643" xr:uid="{6FB5F23E-A108-4862-AD73-696585477458}"/>
    <cellStyle name="Įprastas 5 2 3 2 4 2 3" xfId="1645" xr:uid="{D2BF9BEA-FD6D-4466-B194-27654188AC7F}"/>
    <cellStyle name="Įprastas 5 2 3 2 4 2 4" xfId="2740" xr:uid="{7643694F-4526-413B-B7CF-4433FAB1412D}"/>
    <cellStyle name="Įprastas 5 2 3 2 4 2_8 priedas" xfId="1206" xr:uid="{00000000-0005-0000-0000-000046010000}"/>
    <cellStyle name="Įprastas 5 2 3 2 4 3" xfId="138" xr:uid="{00000000-0005-0000-0000-000047010000}"/>
    <cellStyle name="Įprastas 5 2 3 2 4 3 2" xfId="822" xr:uid="{00000000-0005-0000-0000-000048010000}"/>
    <cellStyle name="Įprastas 5 2 3 2 4 3 2 2" xfId="1647" xr:uid="{FFA28CF8-1739-438B-BBF4-176B76C5992C}"/>
    <cellStyle name="Įprastas 5 2 3 2 4 3 2 3" xfId="3406" xr:uid="{5EB07A68-5335-419E-9842-0E5E0090F36B}"/>
    <cellStyle name="Įprastas 5 2 3 2 4 3 2_Lapas1" xfId="1646" xr:uid="{0A0FA589-C9BF-4F7D-9CF6-2AC00DBF8D4E}"/>
    <cellStyle name="Įprastas 5 2 3 2 4 3 3" xfId="1648" xr:uid="{17918F47-61DC-484A-808C-15335B6A3979}"/>
    <cellStyle name="Įprastas 5 2 3 2 4 3 4" xfId="2741" xr:uid="{A3017856-82AE-49A5-966B-D98137046150}"/>
    <cellStyle name="Įprastas 5 2 3 2 4 3_8 priedas" xfId="1072" xr:uid="{00000000-0005-0000-0000-000049010000}"/>
    <cellStyle name="Įprastas 5 2 3 2 4 4" xfId="534" xr:uid="{00000000-0005-0000-0000-00004A010000}"/>
    <cellStyle name="Įprastas 5 2 3 2 4 4 2" xfId="1650" xr:uid="{35CA38D7-77ED-499A-89F1-5ACF789A667D}"/>
    <cellStyle name="Įprastas 5 2 3 2 4 4 3" xfId="3118" xr:uid="{317B322E-8AAC-4B1F-BC3F-4CBAA33D6A95}"/>
    <cellStyle name="Įprastas 5 2 3 2 4 4_Lapas1" xfId="1649" xr:uid="{50A92339-A1CA-4EA4-A33F-1636F0412A0F}"/>
    <cellStyle name="Įprastas 5 2 3 2 4 5" xfId="1651" xr:uid="{111AC108-6CAB-4BC2-8FE2-2FAA130E645B}"/>
    <cellStyle name="Įprastas 5 2 3 2 4 6" xfId="2739" xr:uid="{EF4F0B2B-8D42-42DD-BDCD-382318130B11}"/>
    <cellStyle name="Įprastas 5 2 3 2 4_8 priedas" xfId="947" xr:uid="{00000000-0005-0000-0000-00004B010000}"/>
    <cellStyle name="Įprastas 5 2 3 2 5" xfId="139" xr:uid="{00000000-0005-0000-0000-00004C010000}"/>
    <cellStyle name="Įprastas 5 2 3 2 5 2" xfId="140" xr:uid="{00000000-0005-0000-0000-00004D010000}"/>
    <cellStyle name="Įprastas 5 2 3 2 5 2 2" xfId="726" xr:uid="{00000000-0005-0000-0000-00004E010000}"/>
    <cellStyle name="Įprastas 5 2 3 2 5 2 2 2" xfId="1653" xr:uid="{C4D71821-0912-4B1D-9D02-52F92BFBFE7C}"/>
    <cellStyle name="Įprastas 5 2 3 2 5 2 2 3" xfId="3310" xr:uid="{D55269D3-02B4-43D5-902F-115E7D0111D1}"/>
    <cellStyle name="Įprastas 5 2 3 2 5 2 2_Lapas1" xfId="1652" xr:uid="{F15913A4-85A6-4CF0-BCE5-56905204C025}"/>
    <cellStyle name="Įprastas 5 2 3 2 5 2 3" xfId="1654" xr:uid="{87B5E454-F7F4-48D2-9DCF-33407B132A92}"/>
    <cellStyle name="Įprastas 5 2 3 2 5 2 4" xfId="2743" xr:uid="{C388E77A-E5D3-4034-92E8-F0F0485BE7E6}"/>
    <cellStyle name="Įprastas 5 2 3 2 5 2_8 priedas" xfId="1160" xr:uid="{00000000-0005-0000-0000-00004F010000}"/>
    <cellStyle name="Įprastas 5 2 3 2 5 3" xfId="141" xr:uid="{00000000-0005-0000-0000-000050010000}"/>
    <cellStyle name="Įprastas 5 2 3 2 5 3 2" xfId="870" xr:uid="{00000000-0005-0000-0000-000051010000}"/>
    <cellStyle name="Įprastas 5 2 3 2 5 3 2 2" xfId="1656" xr:uid="{256F32C0-4421-4A61-B761-7F98C170B9AB}"/>
    <cellStyle name="Įprastas 5 2 3 2 5 3 2 3" xfId="3454" xr:uid="{3B2D2994-47C0-4B02-82B8-ED87C90CF6B1}"/>
    <cellStyle name="Įprastas 5 2 3 2 5 3 2_Lapas1" xfId="1655" xr:uid="{9E0B42B0-397C-4F27-AA2D-858DFC761712}"/>
    <cellStyle name="Įprastas 5 2 3 2 5 3 3" xfId="1657" xr:uid="{47EFFE9C-55A4-4B9A-A69F-126B813EBC22}"/>
    <cellStyle name="Įprastas 5 2 3 2 5 3 4" xfId="2744" xr:uid="{07D65686-C4B0-4616-8925-D773A576D3CC}"/>
    <cellStyle name="Įprastas 5 2 3 2 5 3_8 priedas" xfId="1025" xr:uid="{00000000-0005-0000-0000-000052010000}"/>
    <cellStyle name="Įprastas 5 2 3 2 5 4" xfId="582" xr:uid="{00000000-0005-0000-0000-000053010000}"/>
    <cellStyle name="Įprastas 5 2 3 2 5 4 2" xfId="1659" xr:uid="{0D3581F6-10F3-480C-BEB8-C2BB4F0D867A}"/>
    <cellStyle name="Įprastas 5 2 3 2 5 4 3" xfId="3166" xr:uid="{FE62E43F-EEEA-4821-842B-5244757E8E50}"/>
    <cellStyle name="Įprastas 5 2 3 2 5 4_Lapas1" xfId="1658" xr:uid="{23259FC9-37A0-4F19-82D9-3DCB997F6D33}"/>
    <cellStyle name="Įprastas 5 2 3 2 5 5" xfId="1660" xr:uid="{6C93B6E6-599D-4771-85FD-6658405E3391}"/>
    <cellStyle name="Įprastas 5 2 3 2 5 6" xfId="2742" xr:uid="{9267F97C-714D-4E3D-9023-D69FDD2F2866}"/>
    <cellStyle name="Įprastas 5 2 3 2 5_8 priedas" xfId="1297" xr:uid="{00000000-0005-0000-0000-000054010000}"/>
    <cellStyle name="Įprastas 5 2 3 2 6" xfId="142" xr:uid="{00000000-0005-0000-0000-000055010000}"/>
    <cellStyle name="Įprastas 5 2 3 2 6 2" xfId="630" xr:uid="{00000000-0005-0000-0000-000056010000}"/>
    <cellStyle name="Įprastas 5 2 3 2 6 2 2" xfId="1662" xr:uid="{3A9B06F1-369D-42BD-A6F2-EBEFE174E91B}"/>
    <cellStyle name="Įprastas 5 2 3 2 6 2 3" xfId="3214" xr:uid="{E09F87B7-2930-4C75-ABB2-F2D7AD5451B4}"/>
    <cellStyle name="Įprastas 5 2 3 2 6 2_Lapas1" xfId="1661" xr:uid="{71ABD89D-2DD4-4806-AE67-A2F5E268C916}"/>
    <cellStyle name="Įprastas 5 2 3 2 6 3" xfId="1663" xr:uid="{38370FEE-2DE2-4ED5-A482-85138062B23E}"/>
    <cellStyle name="Įprastas 5 2 3 2 6 4" xfId="2745" xr:uid="{BEAFF523-A0FA-494B-892E-9C5456077519}"/>
    <cellStyle name="Įprastas 5 2 3 2 6_8 priedas" xfId="1250" xr:uid="{00000000-0005-0000-0000-000057010000}"/>
    <cellStyle name="Įprastas 5 2 3 2 7" xfId="143" xr:uid="{00000000-0005-0000-0000-000058010000}"/>
    <cellStyle name="Įprastas 5 2 3 2 7 2" xfId="774" xr:uid="{00000000-0005-0000-0000-000059010000}"/>
    <cellStyle name="Įprastas 5 2 3 2 7 2 2" xfId="1665" xr:uid="{7BE4A6AF-6AEC-4B10-82A7-7FC6A816D86A}"/>
    <cellStyle name="Įprastas 5 2 3 2 7 2 3" xfId="3358" xr:uid="{310AAD8D-D995-4167-81D5-0C8C784AB81B}"/>
    <cellStyle name="Įprastas 5 2 3 2 7 2_Lapas1" xfId="1664" xr:uid="{E9C02A1F-226A-4B5B-BBC0-B9520C4871D5}"/>
    <cellStyle name="Įprastas 5 2 3 2 7 3" xfId="1666" xr:uid="{72C91A69-E9CB-44F2-9763-BC4327BFDA68}"/>
    <cellStyle name="Įprastas 5 2 3 2 7 4" xfId="2746" xr:uid="{C568284D-DFAA-417B-9060-49E77969EE97}"/>
    <cellStyle name="Įprastas 5 2 3 2 7_8 priedas" xfId="1116" xr:uid="{00000000-0005-0000-0000-00005A010000}"/>
    <cellStyle name="Įprastas 5 2 3 2 8" xfId="486" xr:uid="{00000000-0005-0000-0000-00005B010000}"/>
    <cellStyle name="Įprastas 5 2 3 2 8 2" xfId="1668" xr:uid="{6AAFD54F-1E9D-4BC6-B2C9-546C9DB6E15E}"/>
    <cellStyle name="Įprastas 5 2 3 2 8 3" xfId="3070" xr:uid="{30193D70-4875-4EDE-8C90-1D5DEC81284E}"/>
    <cellStyle name="Įprastas 5 2 3 2 8_Lapas1" xfId="1667" xr:uid="{AD9099A9-E3DC-4605-9974-A4D3980AB3C2}"/>
    <cellStyle name="Įprastas 5 2 3 2 9" xfId="1669" xr:uid="{34403DCE-21D3-4EA7-9C98-D07F75719DD3}"/>
    <cellStyle name="Įprastas 5 2 3 2_8 priedas" xfId="108" xr:uid="{00000000-0005-0000-0000-00005C010000}"/>
    <cellStyle name="Įprastas 5 2 3 3" xfId="144" xr:uid="{00000000-0005-0000-0000-00005D010000}"/>
    <cellStyle name="Įprastas 5 2 3 3 2" xfId="145" xr:uid="{00000000-0005-0000-0000-00005E010000}"/>
    <cellStyle name="Įprastas 5 2 3 3 2 2" xfId="146" xr:uid="{00000000-0005-0000-0000-00005F010000}"/>
    <cellStyle name="Įprastas 5 2 3 3 2 2 2" xfId="147" xr:uid="{00000000-0005-0000-0000-000060010000}"/>
    <cellStyle name="Įprastas 5 2 3 3 2 2 2 2" xfId="706" xr:uid="{00000000-0005-0000-0000-000061010000}"/>
    <cellStyle name="Įprastas 5 2 3 3 2 2 2 2 2" xfId="1671" xr:uid="{7BEC002E-B146-435C-A351-A299991E8FCD}"/>
    <cellStyle name="Įprastas 5 2 3 3 2 2 2 2 3" xfId="3290" xr:uid="{C4B294C4-8AD6-4CD0-A94A-01DAD6F77C8A}"/>
    <cellStyle name="Įprastas 5 2 3 3 2 2 2 2_Lapas1" xfId="1670" xr:uid="{C2211E90-0326-409A-AB95-76C3CFA956DC}"/>
    <cellStyle name="Įprastas 5 2 3 3 2 2 2 3" xfId="1672" xr:uid="{904817B5-A978-4C31-B701-2A77D7C8C456}"/>
    <cellStyle name="Įprastas 5 2 3 3 2 2 2 4" xfId="2750" xr:uid="{429BDA04-D9F0-459A-8553-AAD153A1A216}"/>
    <cellStyle name="Įprastas 5 2 3 3 2 2 2_8 priedas" xfId="1184" xr:uid="{00000000-0005-0000-0000-000062010000}"/>
    <cellStyle name="Įprastas 5 2 3 3 2 2 3" xfId="148" xr:uid="{00000000-0005-0000-0000-000063010000}"/>
    <cellStyle name="Įprastas 5 2 3 3 2 2 3 2" xfId="850" xr:uid="{00000000-0005-0000-0000-000064010000}"/>
    <cellStyle name="Įprastas 5 2 3 3 2 2 3 2 2" xfId="1674" xr:uid="{A134D7BB-BBA3-478A-8671-4B59B9185150}"/>
    <cellStyle name="Įprastas 5 2 3 3 2 2 3 2 3" xfId="3434" xr:uid="{DA8D33A3-FC4D-4C03-B4F6-4C8B815D6123}"/>
    <cellStyle name="Įprastas 5 2 3 3 2 2 3 2_Lapas1" xfId="1673" xr:uid="{6A3A62CF-4E31-4421-84C1-B69B41754962}"/>
    <cellStyle name="Įprastas 5 2 3 3 2 2 3 3" xfId="1675" xr:uid="{4F420879-3472-4726-A2B7-E2F18C8FC41B}"/>
    <cellStyle name="Įprastas 5 2 3 3 2 2 3 4" xfId="2751" xr:uid="{FE9C6DF2-2967-4647-9820-1B46FC77430A}"/>
    <cellStyle name="Įprastas 5 2 3 3 2 2 3_8 priedas" xfId="1048" xr:uid="{00000000-0005-0000-0000-000065010000}"/>
    <cellStyle name="Įprastas 5 2 3 3 2 2 4" xfId="562" xr:uid="{00000000-0005-0000-0000-000066010000}"/>
    <cellStyle name="Įprastas 5 2 3 3 2 2 4 2" xfId="1677" xr:uid="{C9390CDD-01EB-42FC-A05C-6E36A3A3876C}"/>
    <cellStyle name="Įprastas 5 2 3 3 2 2 4 3" xfId="3146" xr:uid="{8B4CEA16-9E5B-4560-A33C-B46176302DD5}"/>
    <cellStyle name="Įprastas 5 2 3 3 2 2 4_Lapas1" xfId="1676" xr:uid="{683C89D6-631A-468D-937D-CF62F49C8E4C}"/>
    <cellStyle name="Įprastas 5 2 3 3 2 2 5" xfId="1678" xr:uid="{8C5592F3-98CF-4B77-8D22-B419DBE8FBCB}"/>
    <cellStyle name="Įprastas 5 2 3 3 2 2 6" xfId="2749" xr:uid="{0502C766-50D7-4B35-9EAE-795B89D51620}"/>
    <cellStyle name="Įprastas 5 2 3 3 2 2_8 priedas" xfId="1321" xr:uid="{00000000-0005-0000-0000-000067010000}"/>
    <cellStyle name="Įprastas 5 2 3 3 2 3" xfId="149" xr:uid="{00000000-0005-0000-0000-000068010000}"/>
    <cellStyle name="Įprastas 5 2 3 3 2 3 2" xfId="150" xr:uid="{00000000-0005-0000-0000-000069010000}"/>
    <cellStyle name="Įprastas 5 2 3 3 2 3 2 2" xfId="754" xr:uid="{00000000-0005-0000-0000-00006A010000}"/>
    <cellStyle name="Įprastas 5 2 3 3 2 3 2 2 2" xfId="1680" xr:uid="{47FE8D39-5AE7-4A09-AA80-80F272C766F2}"/>
    <cellStyle name="Įprastas 5 2 3 3 2 3 2 2 3" xfId="3338" xr:uid="{0A1B159A-02C4-47E3-9533-7E45DC30225F}"/>
    <cellStyle name="Įprastas 5 2 3 3 2 3 2 2_Lapas1" xfId="1679" xr:uid="{8489DEA3-D70E-467F-BD13-4441C34B5F86}"/>
    <cellStyle name="Įprastas 5 2 3 3 2 3 2 3" xfId="1681" xr:uid="{D57A5153-AE97-4127-B1CA-BF98A020D7FE}"/>
    <cellStyle name="Įprastas 5 2 3 3 2 3 2 4" xfId="2753" xr:uid="{002CCE83-67B8-400F-ACE6-4B1436E8DD4C}"/>
    <cellStyle name="Įprastas 5 2 3 3 2 3 2_8 priedas" xfId="1136" xr:uid="{00000000-0005-0000-0000-00006B010000}"/>
    <cellStyle name="Įprastas 5 2 3 3 2 3 3" xfId="151" xr:uid="{00000000-0005-0000-0000-00006C010000}"/>
    <cellStyle name="Įprastas 5 2 3 3 2 3 3 2" xfId="898" xr:uid="{00000000-0005-0000-0000-00006D010000}"/>
    <cellStyle name="Įprastas 5 2 3 3 2 3 3 2 2" xfId="1683" xr:uid="{5671F7FF-ABB2-4EF7-9351-333C433FE57C}"/>
    <cellStyle name="Įprastas 5 2 3 3 2 3 3 2 3" xfId="3482" xr:uid="{9829A0AA-DF4D-4C0D-A74F-B000A359379E}"/>
    <cellStyle name="Įprastas 5 2 3 3 2 3 3 2_Lapas1" xfId="1682" xr:uid="{2885605D-2192-4152-B5C3-02B7DEB3FBAB}"/>
    <cellStyle name="Įprastas 5 2 3 3 2 3 3 3" xfId="1684" xr:uid="{D5D11C58-DC26-4451-A44D-BFCBC0CDF792}"/>
    <cellStyle name="Įprastas 5 2 3 3 2 3 3 4" xfId="2754" xr:uid="{3A028326-9DE0-4E67-8A7D-716C07EA30E3}"/>
    <cellStyle name="Įprastas 5 2 3 3 2 3 3_8 priedas" xfId="1000" xr:uid="{00000000-0005-0000-0000-00006E010000}"/>
    <cellStyle name="Įprastas 5 2 3 3 2 3 4" xfId="610" xr:uid="{00000000-0005-0000-0000-00006F010000}"/>
    <cellStyle name="Įprastas 5 2 3 3 2 3 4 2" xfId="1686" xr:uid="{1F7563ED-B9C9-45EB-93C5-FDEE754CBE87}"/>
    <cellStyle name="Įprastas 5 2 3 3 2 3 4 3" xfId="3194" xr:uid="{2B0869B8-A84A-47E5-AE08-EA2E9143BBEE}"/>
    <cellStyle name="Įprastas 5 2 3 3 2 3 4_Lapas1" xfId="1685" xr:uid="{0427983D-505D-4EF0-95A3-D027C962DF78}"/>
    <cellStyle name="Įprastas 5 2 3 3 2 3 5" xfId="1687" xr:uid="{3F5EC323-EE68-422B-AB39-74DB63C5D3B5}"/>
    <cellStyle name="Įprastas 5 2 3 3 2 3 6" xfId="2752" xr:uid="{55F388B1-22DA-4E51-B123-6F6348DB82BD}"/>
    <cellStyle name="Įprastas 5 2 3 3 2 3_8 priedas" xfId="1272" xr:uid="{00000000-0005-0000-0000-000070010000}"/>
    <cellStyle name="Įprastas 5 2 3 3 2 4" xfId="152" xr:uid="{00000000-0005-0000-0000-000071010000}"/>
    <cellStyle name="Įprastas 5 2 3 3 2 4 2" xfId="658" xr:uid="{00000000-0005-0000-0000-000072010000}"/>
    <cellStyle name="Įprastas 5 2 3 3 2 4 2 2" xfId="1689" xr:uid="{CDF5BEF2-16DF-482F-A97A-C6AF27E3D098}"/>
    <cellStyle name="Įprastas 5 2 3 3 2 4 2 3" xfId="3242" xr:uid="{B24B2B15-DC0A-4063-945F-B43FD9A797B4}"/>
    <cellStyle name="Įprastas 5 2 3 3 2 4 2_Lapas1" xfId="1688" xr:uid="{494A9A58-E9BE-4E38-A2DE-85A88A649613}"/>
    <cellStyle name="Įprastas 5 2 3 3 2 4 3" xfId="1690" xr:uid="{15C45D51-3EEA-4BC2-95A0-E1FD2AE57886}"/>
    <cellStyle name="Įprastas 5 2 3 3 2 4 4" xfId="2755" xr:uid="{1B07120C-04FD-4B97-9FA5-10AD8AD4BB84}"/>
    <cellStyle name="Įprastas 5 2 3 3 2 4_8 priedas" xfId="959" xr:uid="{00000000-0005-0000-0000-000073010000}"/>
    <cellStyle name="Įprastas 5 2 3 3 2 5" xfId="153" xr:uid="{00000000-0005-0000-0000-000074010000}"/>
    <cellStyle name="Įprastas 5 2 3 3 2 5 2" xfId="802" xr:uid="{00000000-0005-0000-0000-000075010000}"/>
    <cellStyle name="Įprastas 5 2 3 3 2 5 2 2" xfId="1692" xr:uid="{B1718F14-FE97-44BA-9779-2631D4B82649}"/>
    <cellStyle name="Įprastas 5 2 3 3 2 5 2 3" xfId="3386" xr:uid="{4CE9CEAA-3D0C-49AB-A16B-7A16AE0DFD70}"/>
    <cellStyle name="Įprastas 5 2 3 3 2 5 2_Lapas1" xfId="1691" xr:uid="{C84A4DF6-4464-4E8B-8148-F4D36F82DEED}"/>
    <cellStyle name="Įprastas 5 2 3 3 2 5 3" xfId="1693" xr:uid="{DC11830C-F56D-42CA-A655-87D1EC37A3F8}"/>
    <cellStyle name="Įprastas 5 2 3 3 2 5 4" xfId="2756" xr:uid="{2F319B33-A20F-402A-80CF-1F767F74EECF}"/>
    <cellStyle name="Įprastas 5 2 3 3 2 5_8 priedas" xfId="930" xr:uid="{00000000-0005-0000-0000-000076010000}"/>
    <cellStyle name="Įprastas 5 2 3 3 2 6" xfId="514" xr:uid="{00000000-0005-0000-0000-000077010000}"/>
    <cellStyle name="Įprastas 5 2 3 3 2 6 2" xfId="1695" xr:uid="{68920BC0-A5F4-489F-A17F-168BD388A15D}"/>
    <cellStyle name="Įprastas 5 2 3 3 2 6 3" xfId="3098" xr:uid="{B674964E-3D17-40D1-8A47-53D06C33F846}"/>
    <cellStyle name="Įprastas 5 2 3 3 2 6_Lapas1" xfId="1694" xr:uid="{4E61B2CC-D7BB-40CA-A186-68CE296FCEBA}"/>
    <cellStyle name="Įprastas 5 2 3 3 2 7" xfId="1696" xr:uid="{59979AE4-F188-44BD-90E4-350807EA34FD}"/>
    <cellStyle name="Įprastas 5 2 3 3 2 8" xfId="2748" xr:uid="{86FC6E4F-17CE-45C1-A17C-291EC2B972B8}"/>
    <cellStyle name="Įprastas 5 2 3 3 2_8 priedas" xfId="1096" xr:uid="{00000000-0005-0000-0000-000078010000}"/>
    <cellStyle name="Įprastas 5 2 3 3 3" xfId="154" xr:uid="{00000000-0005-0000-0000-000079010000}"/>
    <cellStyle name="Įprastas 5 2 3 3 3 2" xfId="155" xr:uid="{00000000-0005-0000-0000-00007A010000}"/>
    <cellStyle name="Įprastas 5 2 3 3 3 2 2" xfId="682" xr:uid="{00000000-0005-0000-0000-00007B010000}"/>
    <cellStyle name="Įprastas 5 2 3 3 3 2 2 2" xfId="1698" xr:uid="{3CE83F50-F166-411D-B3AB-5E50F4EDB836}"/>
    <cellStyle name="Įprastas 5 2 3 3 3 2 2 3" xfId="3266" xr:uid="{955099CD-84FB-49BB-83EA-F69FEAA56FAC}"/>
    <cellStyle name="Įprastas 5 2 3 3 3 2 2_Lapas1" xfId="1697" xr:uid="{85F97B89-722E-4074-AF32-75B9A3327BE0}"/>
    <cellStyle name="Įprastas 5 2 3 3 3 2 3" xfId="1699" xr:uid="{D42CD6D4-1FD7-4BCD-BC39-503E3C94B0F4}"/>
    <cellStyle name="Įprastas 5 2 3 3 3 2 4" xfId="2758" xr:uid="{60884145-E688-4D45-8152-1E7971B03810}"/>
    <cellStyle name="Įprastas 5 2 3 3 3 2_8 priedas" xfId="1199" xr:uid="{00000000-0005-0000-0000-00007C010000}"/>
    <cellStyle name="Įprastas 5 2 3 3 3 3" xfId="156" xr:uid="{00000000-0005-0000-0000-00007D010000}"/>
    <cellStyle name="Įprastas 5 2 3 3 3 3 2" xfId="826" xr:uid="{00000000-0005-0000-0000-00007E010000}"/>
    <cellStyle name="Įprastas 5 2 3 3 3 3 2 2" xfId="1701" xr:uid="{FF1163FF-5C9A-4910-89A7-D479EDE8E87C}"/>
    <cellStyle name="Įprastas 5 2 3 3 3 3 2 3" xfId="3410" xr:uid="{5C15D0A1-0921-486D-B78E-CF41B3D0C97F}"/>
    <cellStyle name="Įprastas 5 2 3 3 3 3 2_Lapas1" xfId="1700" xr:uid="{03C01771-A032-4776-8A0F-2E9042D6D428}"/>
    <cellStyle name="Įprastas 5 2 3 3 3 3 3" xfId="1702" xr:uid="{D20D7B5A-A58F-4EA0-BD84-11E10942F1C8}"/>
    <cellStyle name="Įprastas 5 2 3 3 3 3 4" xfId="2759" xr:uid="{39371627-0A9E-40D2-81A4-F9AA09EC3FF4}"/>
    <cellStyle name="Įprastas 5 2 3 3 3 3_8 priedas" xfId="1065" xr:uid="{00000000-0005-0000-0000-00007F010000}"/>
    <cellStyle name="Įprastas 5 2 3 3 3 4" xfId="538" xr:uid="{00000000-0005-0000-0000-000080010000}"/>
    <cellStyle name="Įprastas 5 2 3 3 3 4 2" xfId="1704" xr:uid="{DDF2E437-EE65-4D4F-AAA9-4B3ABE7E1636}"/>
    <cellStyle name="Įprastas 5 2 3 3 3 4 3" xfId="3122" xr:uid="{2EDBF376-A54D-406E-8CB4-2DB9F475259C}"/>
    <cellStyle name="Įprastas 5 2 3 3 3 4_Lapas1" xfId="1703" xr:uid="{79ED0DBA-DCFB-4584-9EDA-E7497E5E8F8C}"/>
    <cellStyle name="Įprastas 5 2 3 3 3 5" xfId="1705" xr:uid="{9ED9BA5C-502B-40B7-8408-FB60EC1D62F7}"/>
    <cellStyle name="Įprastas 5 2 3 3 3 6" xfId="2757" xr:uid="{089D3C4C-C0AF-43A1-A9CD-BFB07621EF60}"/>
    <cellStyle name="Įprastas 5 2 3 3 3_8 priedas" xfId="940" xr:uid="{00000000-0005-0000-0000-000081010000}"/>
    <cellStyle name="Įprastas 5 2 3 3 4" xfId="157" xr:uid="{00000000-0005-0000-0000-000082010000}"/>
    <cellStyle name="Įprastas 5 2 3 3 4 2" xfId="158" xr:uid="{00000000-0005-0000-0000-000083010000}"/>
    <cellStyle name="Įprastas 5 2 3 3 4 2 2" xfId="730" xr:uid="{00000000-0005-0000-0000-000084010000}"/>
    <cellStyle name="Įprastas 5 2 3 3 4 2 2 2" xfId="1707" xr:uid="{750F73FE-1F0B-40DA-AEBB-E0F3B8E5109A}"/>
    <cellStyle name="Įprastas 5 2 3 3 4 2 2 3" xfId="3314" xr:uid="{C9A73A8B-85E1-4ECC-BBE1-0C544685AC43}"/>
    <cellStyle name="Įprastas 5 2 3 3 4 2 2_Lapas1" xfId="1706" xr:uid="{A6EF42BF-0A73-45AA-ACC9-C2DF714E8B3C}"/>
    <cellStyle name="Įprastas 5 2 3 3 4 2 3" xfId="1708" xr:uid="{29FF077B-ABD9-488C-8E24-6A7B8027A43D}"/>
    <cellStyle name="Įprastas 5 2 3 3 4 2 4" xfId="2761" xr:uid="{257F6070-2CF1-4FE4-AAA5-22E9FC1DD050}"/>
    <cellStyle name="Įprastas 5 2 3 3 4 2_8 priedas" xfId="1153" xr:uid="{00000000-0005-0000-0000-000085010000}"/>
    <cellStyle name="Įprastas 5 2 3 3 4 3" xfId="159" xr:uid="{00000000-0005-0000-0000-000086010000}"/>
    <cellStyle name="Įprastas 5 2 3 3 4 3 2" xfId="874" xr:uid="{00000000-0005-0000-0000-000087010000}"/>
    <cellStyle name="Įprastas 5 2 3 3 4 3 2 2" xfId="1710" xr:uid="{2E7DFEEC-5359-46A6-AEB0-55BFA57F71D1}"/>
    <cellStyle name="Įprastas 5 2 3 3 4 3 2 3" xfId="3458" xr:uid="{C2AC24E2-DD48-4DF5-8C25-2CD9E8269A95}"/>
    <cellStyle name="Įprastas 5 2 3 3 4 3 2_Lapas1" xfId="1709" xr:uid="{3A302C55-F0E7-4FE7-A79A-45D7B126A093}"/>
    <cellStyle name="Įprastas 5 2 3 3 4 3 3" xfId="1711" xr:uid="{AE54D57D-0386-43C8-A9EF-18447A9DCED9}"/>
    <cellStyle name="Įprastas 5 2 3 3 4 3 4" xfId="2762" xr:uid="{96EE3478-8B82-47B9-89A2-C4947EAC2909}"/>
    <cellStyle name="Įprastas 5 2 3 3 4 3_8 priedas" xfId="1018" xr:uid="{00000000-0005-0000-0000-000088010000}"/>
    <cellStyle name="Įprastas 5 2 3 3 4 4" xfId="586" xr:uid="{00000000-0005-0000-0000-000089010000}"/>
    <cellStyle name="Įprastas 5 2 3 3 4 4 2" xfId="1713" xr:uid="{DEC66F7E-F029-4994-9253-776B5132508F}"/>
    <cellStyle name="Įprastas 5 2 3 3 4 4 3" xfId="3170" xr:uid="{F4D535B9-404C-4277-9405-04ADB3B03396}"/>
    <cellStyle name="Įprastas 5 2 3 3 4 4_Lapas1" xfId="1712" xr:uid="{5F0CF017-E9DF-4687-BA46-326E634BC275}"/>
    <cellStyle name="Įprastas 5 2 3 3 4 5" xfId="1714" xr:uid="{707EC6A6-2B8B-450B-B713-1BC4E6BBD4BD}"/>
    <cellStyle name="Įprastas 5 2 3 3 4 6" xfId="2760" xr:uid="{3409F25B-AD13-4168-94E1-3D89110D12FC}"/>
    <cellStyle name="Įprastas 5 2 3 3 4_8 priedas" xfId="1290" xr:uid="{00000000-0005-0000-0000-00008A010000}"/>
    <cellStyle name="Įprastas 5 2 3 3 5" xfId="160" xr:uid="{00000000-0005-0000-0000-00008B010000}"/>
    <cellStyle name="Įprastas 5 2 3 3 5 2" xfId="634" xr:uid="{00000000-0005-0000-0000-00008C010000}"/>
    <cellStyle name="Įprastas 5 2 3 3 5 2 2" xfId="1716" xr:uid="{163E97FB-68E0-4D72-91B1-FB787B68FB40}"/>
    <cellStyle name="Įprastas 5 2 3 3 5 2 3" xfId="3218" xr:uid="{A9E48B54-ED44-4279-8D18-55240985FFA1}"/>
    <cellStyle name="Įprastas 5 2 3 3 5 2_Lapas1" xfId="1715" xr:uid="{6CD7ED18-8DA7-4E04-8AA0-6AFAE28E676A}"/>
    <cellStyle name="Įprastas 5 2 3 3 5 3" xfId="1717" xr:uid="{55A22D56-FB90-4640-BD7D-375E7DFC6C39}"/>
    <cellStyle name="Įprastas 5 2 3 3 5 4" xfId="2763" xr:uid="{57AF226E-F437-46EA-BFA6-FDD9C8521685}"/>
    <cellStyle name="Įprastas 5 2 3 3 5_8 priedas" xfId="1243" xr:uid="{00000000-0005-0000-0000-00008D010000}"/>
    <cellStyle name="Įprastas 5 2 3 3 6" xfId="161" xr:uid="{00000000-0005-0000-0000-00008E010000}"/>
    <cellStyle name="Įprastas 5 2 3 3 6 2" xfId="778" xr:uid="{00000000-0005-0000-0000-00008F010000}"/>
    <cellStyle name="Įprastas 5 2 3 3 6 2 2" xfId="1719" xr:uid="{2ECFA01D-A839-4CD2-993C-25855C7554DC}"/>
    <cellStyle name="Įprastas 5 2 3 3 6 2 3" xfId="3362" xr:uid="{CFB9A602-D8A7-442E-A011-80AFFB5511C5}"/>
    <cellStyle name="Įprastas 5 2 3 3 6 2_Lapas1" xfId="1718" xr:uid="{71A2CC76-9082-463F-89C4-81A8D692E96A}"/>
    <cellStyle name="Įprastas 5 2 3 3 6 3" xfId="1720" xr:uid="{C8B6113C-B0A3-4B80-AA17-BF1093D4FA53}"/>
    <cellStyle name="Įprastas 5 2 3 3 6 4" xfId="2764" xr:uid="{DC574EAD-7DF3-4AB0-8D58-C8CDD163A0D2}"/>
    <cellStyle name="Įprastas 5 2 3 3 6_8 priedas" xfId="1113" xr:uid="{00000000-0005-0000-0000-000090010000}"/>
    <cellStyle name="Įprastas 5 2 3 3 7" xfId="490" xr:uid="{00000000-0005-0000-0000-000091010000}"/>
    <cellStyle name="Įprastas 5 2 3 3 7 2" xfId="1722" xr:uid="{460E77D9-677B-4905-9739-E60F71D39ED5}"/>
    <cellStyle name="Įprastas 5 2 3 3 7 3" xfId="3074" xr:uid="{432FFF2C-2265-42D8-A360-08D2E6C626FE}"/>
    <cellStyle name="Įprastas 5 2 3 3 7_Lapas1" xfId="1721" xr:uid="{713341FA-34D6-4D1D-AAE4-22B7A2A818D4}"/>
    <cellStyle name="Įprastas 5 2 3 3 8" xfId="1723" xr:uid="{EF4F13A4-484E-49C2-BEC4-C3C74CFC2DCB}"/>
    <cellStyle name="Įprastas 5 2 3 3 9" xfId="2747" xr:uid="{F3BC0125-FF9B-47F5-AA70-585E3E23725E}"/>
    <cellStyle name="Įprastas 5 2 3 3_8 priedas" xfId="1230" xr:uid="{00000000-0005-0000-0000-000092010000}"/>
    <cellStyle name="Įprastas 5 2 3 4" xfId="162" xr:uid="{00000000-0005-0000-0000-000093010000}"/>
    <cellStyle name="Įprastas 5 2 3 4 2" xfId="163" xr:uid="{00000000-0005-0000-0000-000094010000}"/>
    <cellStyle name="Įprastas 5 2 3 4 2 2" xfId="164" xr:uid="{00000000-0005-0000-0000-000095010000}"/>
    <cellStyle name="Įprastas 5 2 3 4 2 2 2" xfId="694" xr:uid="{00000000-0005-0000-0000-000096010000}"/>
    <cellStyle name="Įprastas 5 2 3 4 2 2 2 2" xfId="1725" xr:uid="{18263738-AD04-494F-A143-0282165F5588}"/>
    <cellStyle name="Įprastas 5 2 3 4 2 2 2 3" xfId="3278" xr:uid="{F07589EF-B56A-4A57-A33F-1E6E78DA5DD7}"/>
    <cellStyle name="Įprastas 5 2 3 4 2 2 2_Lapas1" xfId="1724" xr:uid="{A737B066-DCBA-4F68-945F-03EE755CB2FA}"/>
    <cellStyle name="Įprastas 5 2 3 4 2 2 3" xfId="1726" xr:uid="{2680A804-2B3C-49D1-88A3-40AA066F6B80}"/>
    <cellStyle name="Įprastas 5 2 3 4 2 2 4" xfId="2767" xr:uid="{70AC452D-0DEE-4D38-B2BC-B9E56EFBD6B2}"/>
    <cellStyle name="Įprastas 5 2 3 4 2 2_8 priedas" xfId="1089" xr:uid="{00000000-0005-0000-0000-000097010000}"/>
    <cellStyle name="Įprastas 5 2 3 4 2 3" xfId="165" xr:uid="{00000000-0005-0000-0000-000098010000}"/>
    <cellStyle name="Įprastas 5 2 3 4 2 3 2" xfId="838" xr:uid="{00000000-0005-0000-0000-000099010000}"/>
    <cellStyle name="Įprastas 5 2 3 4 2 3 2 2" xfId="1728" xr:uid="{5DA9B8CF-7509-45F5-8BC1-A68A9ABF58D6}"/>
    <cellStyle name="Įprastas 5 2 3 4 2 3 2 3" xfId="3422" xr:uid="{8BE887CF-5EDD-4D53-8CE7-4D48B70CB9CF}"/>
    <cellStyle name="Įprastas 5 2 3 4 2 3 2_Lapas1" xfId="1727" xr:uid="{A75A13CC-8739-4C0C-830B-0C66CB798D4E}"/>
    <cellStyle name="Įprastas 5 2 3 4 2 3 3" xfId="1729" xr:uid="{2EAE14F1-0C04-42EC-A4E1-FC8F5E66ECD7}"/>
    <cellStyle name="Įprastas 5 2 3 4 2 3 4" xfId="2768" xr:uid="{B409ECAC-8B34-4A4F-ADFD-873D47CF01F8}"/>
    <cellStyle name="Įprastas 5 2 3 4 2 3_8 priedas" xfId="1314" xr:uid="{00000000-0005-0000-0000-00009A010000}"/>
    <cellStyle name="Įprastas 5 2 3 4 2 4" xfId="550" xr:uid="{00000000-0005-0000-0000-00009B010000}"/>
    <cellStyle name="Įprastas 5 2 3 4 2 4 2" xfId="1731" xr:uid="{BDA5BCDB-FB99-48A3-9BC7-EE7100C676D7}"/>
    <cellStyle name="Įprastas 5 2 3 4 2 4 3" xfId="3134" xr:uid="{5111AF18-9F41-435B-9895-B5188B122012}"/>
    <cellStyle name="Įprastas 5 2 3 4 2 4_Lapas1" xfId="1730" xr:uid="{5C002717-4501-4E75-8437-3883FEA79A91}"/>
    <cellStyle name="Įprastas 5 2 3 4 2 5" xfId="1732" xr:uid="{5F7E7FA1-2CD5-403C-A525-FB220EF8A120}"/>
    <cellStyle name="Įprastas 5 2 3 4 2 6" xfId="2766" xr:uid="{8090DBB3-7789-49BD-9E20-CD0B3D51E8CD}"/>
    <cellStyle name="Įprastas 5 2 3 4 2_8 priedas" xfId="1223" xr:uid="{00000000-0005-0000-0000-00009C010000}"/>
    <cellStyle name="Įprastas 5 2 3 4 3" xfId="166" xr:uid="{00000000-0005-0000-0000-00009D010000}"/>
    <cellStyle name="Įprastas 5 2 3 4 3 2" xfId="167" xr:uid="{00000000-0005-0000-0000-00009E010000}"/>
    <cellStyle name="Įprastas 5 2 3 4 3 2 2" xfId="742" xr:uid="{00000000-0005-0000-0000-00009F010000}"/>
    <cellStyle name="Įprastas 5 2 3 4 3 2 2 2" xfId="1734" xr:uid="{30C454EA-7221-48FB-A2FD-CB87EEEAB92A}"/>
    <cellStyle name="Įprastas 5 2 3 4 3 2 2 3" xfId="3326" xr:uid="{9694C0CE-A1C5-4646-9467-9B4B55475960}"/>
    <cellStyle name="Įprastas 5 2 3 4 3 2 2_Lapas1" xfId="1733" xr:uid="{32EA4365-8783-49AC-9086-7C87E7D04CF3}"/>
    <cellStyle name="Įprastas 5 2 3 4 3 2 3" xfId="1735" xr:uid="{2A8560AB-3ED9-44ED-9788-6212128107CF}"/>
    <cellStyle name="Įprastas 5 2 3 4 3 2 4" xfId="2770" xr:uid="{0A19AAE2-A85C-4BD7-B44D-F27DEEA66D63}"/>
    <cellStyle name="Įprastas 5 2 3 4 3 2_8 priedas" xfId="1041" xr:uid="{00000000-0005-0000-0000-0000A0010000}"/>
    <cellStyle name="Įprastas 5 2 3 4 3 3" xfId="168" xr:uid="{00000000-0005-0000-0000-0000A1010000}"/>
    <cellStyle name="Įprastas 5 2 3 4 3 3 2" xfId="886" xr:uid="{00000000-0005-0000-0000-0000A2010000}"/>
    <cellStyle name="Įprastas 5 2 3 4 3 3 2 2" xfId="1737" xr:uid="{99FFE8CF-076F-4534-B880-8551F0C3BEFC}"/>
    <cellStyle name="Įprastas 5 2 3 4 3 3 2 3" xfId="3470" xr:uid="{A83AEE97-0EAC-49F1-8B58-998955D34F25}"/>
    <cellStyle name="Įprastas 5 2 3 4 3 3 2_Lapas1" xfId="1736" xr:uid="{ACBC2CBB-8BCB-4831-B028-E76B7408AB05}"/>
    <cellStyle name="Įprastas 5 2 3 4 3 3 3" xfId="1738" xr:uid="{93488FEB-DA83-421A-8E84-345079958049}"/>
    <cellStyle name="Įprastas 5 2 3 4 3 3 4" xfId="2771" xr:uid="{75B5E1DC-E5E9-4710-8442-42C26B60AE50}"/>
    <cellStyle name="Įprastas 5 2 3 4 3 3_8 priedas" xfId="1265" xr:uid="{00000000-0005-0000-0000-0000A3010000}"/>
    <cellStyle name="Įprastas 5 2 3 4 3 4" xfId="598" xr:uid="{00000000-0005-0000-0000-0000A4010000}"/>
    <cellStyle name="Įprastas 5 2 3 4 3 4 2" xfId="1740" xr:uid="{BFD594CC-E817-4D3E-8FE4-54498A5B10A2}"/>
    <cellStyle name="Įprastas 5 2 3 4 3 4 3" xfId="3182" xr:uid="{8A9E1308-033E-43C8-8FD6-0318769093B8}"/>
    <cellStyle name="Įprastas 5 2 3 4 3 4_Lapas1" xfId="1739" xr:uid="{1682EFEA-5B6C-4032-8882-D032C81749C5}"/>
    <cellStyle name="Įprastas 5 2 3 4 3 5" xfId="1741" xr:uid="{836876E0-DFCD-4F80-9D52-8C76B03509B5}"/>
    <cellStyle name="Įprastas 5 2 3 4 3 6" xfId="2769" xr:uid="{D41073C3-8D2A-437C-BA2E-5C9AC8E5EDCC}"/>
    <cellStyle name="Įprastas 5 2 3 4 3_8 priedas" xfId="1177" xr:uid="{00000000-0005-0000-0000-0000A5010000}"/>
    <cellStyle name="Įprastas 5 2 3 4 4" xfId="169" xr:uid="{00000000-0005-0000-0000-0000A6010000}"/>
    <cellStyle name="Įprastas 5 2 3 4 4 2" xfId="646" xr:uid="{00000000-0005-0000-0000-0000A7010000}"/>
    <cellStyle name="Įprastas 5 2 3 4 4 2 2" xfId="1743" xr:uid="{74FE172D-E67E-4457-9E83-4651BF7F5FCA}"/>
    <cellStyle name="Įprastas 5 2 3 4 4 2 3" xfId="3230" xr:uid="{9DE09FAA-7159-41EF-95EC-AF4A0BD76725}"/>
    <cellStyle name="Įprastas 5 2 3 4 4 2_Lapas1" xfId="1742" xr:uid="{598F5CFD-DA88-4F89-80F1-F7B1F23704BC}"/>
    <cellStyle name="Įprastas 5 2 3 4 4 3" xfId="1744" xr:uid="{9B6AC427-E69E-4685-AE2E-1474345D00FD}"/>
    <cellStyle name="Įprastas 5 2 3 4 4 4" xfId="2772" xr:uid="{8473CCC0-BF51-490F-B9BD-709C000CE24D}"/>
    <cellStyle name="Įprastas 5 2 3 4 4_8 priedas" xfId="1129" xr:uid="{00000000-0005-0000-0000-0000A8010000}"/>
    <cellStyle name="Įprastas 5 2 3 4 5" xfId="170" xr:uid="{00000000-0005-0000-0000-0000A9010000}"/>
    <cellStyle name="Įprastas 5 2 3 4 5 2" xfId="790" xr:uid="{00000000-0005-0000-0000-0000AA010000}"/>
    <cellStyle name="Įprastas 5 2 3 4 5 2 2" xfId="1746" xr:uid="{16610210-8D2A-458D-8699-22AA348E61EF}"/>
    <cellStyle name="Įprastas 5 2 3 4 5 2 3" xfId="3374" xr:uid="{2CC49414-F545-4DE2-8573-99BE7619A46F}"/>
    <cellStyle name="Įprastas 5 2 3 4 5 2_Lapas1" xfId="1745" xr:uid="{C08A9AA9-FF48-41EF-A7F0-B3B9511FC930}"/>
    <cellStyle name="Įprastas 5 2 3 4 5 3" xfId="1747" xr:uid="{8D99C9A2-6209-4269-828B-5047D088DDEC}"/>
    <cellStyle name="Įprastas 5 2 3 4 5 4" xfId="2773" xr:uid="{2B2D2020-6422-4F7D-840D-9570DA94AEDD}"/>
    <cellStyle name="Įprastas 5 2 3 4 5_8 priedas" xfId="993" xr:uid="{00000000-0005-0000-0000-0000AB010000}"/>
    <cellStyle name="Įprastas 5 2 3 4 6" xfId="502" xr:uid="{00000000-0005-0000-0000-0000AC010000}"/>
    <cellStyle name="Įprastas 5 2 3 4 6 2" xfId="1749" xr:uid="{229A8E06-06D1-4478-8EA4-000CF397A253}"/>
    <cellStyle name="Įprastas 5 2 3 4 6 3" xfId="3086" xr:uid="{4BCFC998-2225-4980-9496-241C05D2A089}"/>
    <cellStyle name="Įprastas 5 2 3 4 6_Lapas1" xfId="1748" xr:uid="{458DB1F6-76D0-4C8C-B5D9-6A151C1C0F86}"/>
    <cellStyle name="Įprastas 5 2 3 4 7" xfId="1750" xr:uid="{115958A3-5FF7-4562-9338-75E615816EB5}"/>
    <cellStyle name="Įprastas 5 2 3 4 8" xfId="2765" xr:uid="{B8C803B7-57A9-4B70-8A83-DFEB5B1CF237}"/>
    <cellStyle name="Įprastas 5 2 3 4_8 priedas" xfId="977" xr:uid="{00000000-0005-0000-0000-0000AD010000}"/>
    <cellStyle name="Įprastas 5 2 3 5" xfId="171" xr:uid="{00000000-0005-0000-0000-0000AE010000}"/>
    <cellStyle name="Įprastas 5 2 3 5 2" xfId="172" xr:uid="{00000000-0005-0000-0000-0000AF010000}"/>
    <cellStyle name="Įprastas 5 2 3 5 2 2" xfId="670" xr:uid="{00000000-0005-0000-0000-0000B0010000}"/>
    <cellStyle name="Įprastas 5 2 3 5 2 2 2" xfId="1752" xr:uid="{94041D63-DE3A-405B-B087-3AD016BE758C}"/>
    <cellStyle name="Įprastas 5 2 3 5 2 2 3" xfId="3254" xr:uid="{DAFA0D66-D248-48FC-AA89-DFCDF39AD2D6}"/>
    <cellStyle name="Įprastas 5 2 3 5 2 2_Lapas1" xfId="1751" xr:uid="{5221C88C-E733-4EDC-9C67-ABC534951EEE}"/>
    <cellStyle name="Įprastas 5 2 3 5 2 3" xfId="1753" xr:uid="{C9412E07-5D8E-4FF3-B18D-68507A4B453F}"/>
    <cellStyle name="Įprastas 5 2 3 5 2 4" xfId="2775" xr:uid="{044B8E20-B875-481B-9799-1DDC5C40A812}"/>
    <cellStyle name="Įprastas 5 2 3 5 2_8 priedas" xfId="1211" xr:uid="{00000000-0005-0000-0000-0000B1010000}"/>
    <cellStyle name="Įprastas 5 2 3 5 3" xfId="173" xr:uid="{00000000-0005-0000-0000-0000B2010000}"/>
    <cellStyle name="Įprastas 5 2 3 5 3 2" xfId="814" xr:uid="{00000000-0005-0000-0000-0000B3010000}"/>
    <cellStyle name="Įprastas 5 2 3 5 3 2 2" xfId="1755" xr:uid="{A510EFA5-96F8-495F-A51C-F7DDB9E64DDA}"/>
    <cellStyle name="Įprastas 5 2 3 5 3 2 3" xfId="3398" xr:uid="{F86D4E7D-92D9-4AFA-9E9D-7B53B5F9B5BF}"/>
    <cellStyle name="Įprastas 5 2 3 5 3 2_Lapas1" xfId="1754" xr:uid="{D4299900-808E-4903-B065-A8A43A7F26B4}"/>
    <cellStyle name="Įprastas 5 2 3 5 3 3" xfId="1756" xr:uid="{A9066C25-4C6D-4314-854E-B9A650312368}"/>
    <cellStyle name="Įprastas 5 2 3 5 3 4" xfId="2776" xr:uid="{4E459D9F-12CC-42C5-851D-615617E39B3D}"/>
    <cellStyle name="Įprastas 5 2 3 5 3_8 priedas" xfId="1077" xr:uid="{00000000-0005-0000-0000-0000B4010000}"/>
    <cellStyle name="Įprastas 5 2 3 5 4" xfId="526" xr:uid="{00000000-0005-0000-0000-0000B5010000}"/>
    <cellStyle name="Įprastas 5 2 3 5 4 2" xfId="1758" xr:uid="{B201AA9E-562E-4A17-B9AB-B675CC9B058A}"/>
    <cellStyle name="Įprastas 5 2 3 5 4 3" xfId="3110" xr:uid="{77F2A7C0-0B14-41DC-9C6E-F2A13CFC9109}"/>
    <cellStyle name="Įprastas 5 2 3 5 4_Lapas1" xfId="1757" xr:uid="{17BD8C44-1CC8-4FEB-BF33-EEE56C04835D}"/>
    <cellStyle name="Įprastas 5 2 3 5 5" xfId="1759" xr:uid="{8E2FB63C-E9C3-4FCF-9163-6B55ACE47367}"/>
    <cellStyle name="Įprastas 5 2 3 5 6" xfId="2774" xr:uid="{9F4A36C1-BF69-4832-AFE1-423740BCCE33}"/>
    <cellStyle name="Įprastas 5 2 3 5_8 priedas" xfId="952" xr:uid="{00000000-0005-0000-0000-0000B6010000}"/>
    <cellStyle name="Įprastas 5 2 3 6" xfId="174" xr:uid="{00000000-0005-0000-0000-0000B7010000}"/>
    <cellStyle name="Įprastas 5 2 3 6 2" xfId="175" xr:uid="{00000000-0005-0000-0000-0000B8010000}"/>
    <cellStyle name="Įprastas 5 2 3 6 2 2" xfId="718" xr:uid="{00000000-0005-0000-0000-0000B9010000}"/>
    <cellStyle name="Įprastas 5 2 3 6 2 2 2" xfId="1761" xr:uid="{AEF02287-645E-450B-92D8-A068C9B06138}"/>
    <cellStyle name="Įprastas 5 2 3 6 2 2 3" xfId="3302" xr:uid="{20729905-6101-40D0-9A5E-DE554D4E972F}"/>
    <cellStyle name="Įprastas 5 2 3 6 2 2_Lapas1" xfId="1760" xr:uid="{DDF9625E-04F7-4DEB-AADF-C7A9415F51E1}"/>
    <cellStyle name="Įprastas 5 2 3 6 2 3" xfId="1762" xr:uid="{800CF4B0-8DD8-442F-AECA-BEE41E458FA6}"/>
    <cellStyle name="Įprastas 5 2 3 6 2 4" xfId="2778" xr:uid="{FE5C3C3B-8E41-4084-BE0A-ACDA6115C684}"/>
    <cellStyle name="Įprastas 5 2 3 6 2_8 priedas" xfId="1165" xr:uid="{00000000-0005-0000-0000-0000BA010000}"/>
    <cellStyle name="Įprastas 5 2 3 6 3" xfId="176" xr:uid="{00000000-0005-0000-0000-0000BB010000}"/>
    <cellStyle name="Įprastas 5 2 3 6 3 2" xfId="862" xr:uid="{00000000-0005-0000-0000-0000BC010000}"/>
    <cellStyle name="Įprastas 5 2 3 6 3 2 2" xfId="1764" xr:uid="{2B884BCF-B81A-4C6A-A617-888A61BC7603}"/>
    <cellStyle name="Įprastas 5 2 3 6 3 2 3" xfId="3446" xr:uid="{1DC7BEBD-9C20-4EA6-B4AF-F2EBF69F97A0}"/>
    <cellStyle name="Įprastas 5 2 3 6 3 2_Lapas1" xfId="1763" xr:uid="{95FF9C60-249B-436F-8826-E3B5403EE21B}"/>
    <cellStyle name="Įprastas 5 2 3 6 3 3" xfId="1765" xr:uid="{EC2A4FE5-5602-4D19-843D-919617FABF2B}"/>
    <cellStyle name="Įprastas 5 2 3 6 3 4" xfId="2779" xr:uid="{AE12CECA-BC21-42BB-9640-56ED1B2C82BF}"/>
    <cellStyle name="Įprastas 5 2 3 6 3_8 priedas" xfId="1029" xr:uid="{00000000-0005-0000-0000-0000BD010000}"/>
    <cellStyle name="Įprastas 5 2 3 6 4" xfId="574" xr:uid="{00000000-0005-0000-0000-0000BE010000}"/>
    <cellStyle name="Įprastas 5 2 3 6 4 2" xfId="1767" xr:uid="{5EE8BA2C-715E-461F-9771-79523B4183F5}"/>
    <cellStyle name="Įprastas 5 2 3 6 4 3" xfId="3158" xr:uid="{3BBC257C-C719-42C4-A5DC-78ADA34B394C}"/>
    <cellStyle name="Įprastas 5 2 3 6 4_Lapas1" xfId="1766" xr:uid="{BC771CDB-0667-467A-845A-2AF4A7341DAF}"/>
    <cellStyle name="Įprastas 5 2 3 6 5" xfId="1768" xr:uid="{E85E0AC9-30BC-4FAB-9D77-B02DDB637056}"/>
    <cellStyle name="Įprastas 5 2 3 6 6" xfId="2777" xr:uid="{ACEDB767-D7D2-488C-9913-4CA6FE717FCB}"/>
    <cellStyle name="Įprastas 5 2 3 6_8 priedas" xfId="1302" xr:uid="{00000000-0005-0000-0000-0000BF010000}"/>
    <cellStyle name="Įprastas 5 2 3 7" xfId="177" xr:uid="{00000000-0005-0000-0000-0000C0010000}"/>
    <cellStyle name="Įprastas 5 2 3 7 2" xfId="622" xr:uid="{00000000-0005-0000-0000-0000C1010000}"/>
    <cellStyle name="Įprastas 5 2 3 7 2 2" xfId="1770" xr:uid="{4BC3C0E4-8742-4054-B85C-84B3FADE3DED}"/>
    <cellStyle name="Įprastas 5 2 3 7 2 3" xfId="3206" xr:uid="{541F853A-F4CC-4E42-A572-12BDBE3536CA}"/>
    <cellStyle name="Įprastas 5 2 3 7 2_Lapas1" xfId="1769" xr:uid="{3872BED8-A8DE-4029-AB99-F93121D16A4F}"/>
    <cellStyle name="Įprastas 5 2 3 7 3" xfId="1771" xr:uid="{6D0F875A-E1E1-4E3B-A15C-90F983388254}"/>
    <cellStyle name="Įprastas 5 2 3 7 4" xfId="2780" xr:uid="{5589ADBE-8624-4C6D-B2D6-DC62D463091D}"/>
    <cellStyle name="Įprastas 5 2 3 7_8 priedas" xfId="1253" xr:uid="{00000000-0005-0000-0000-0000C2010000}"/>
    <cellStyle name="Įprastas 5 2 3 8" xfId="178" xr:uid="{00000000-0005-0000-0000-0000C3010000}"/>
    <cellStyle name="Įprastas 5 2 3 8 2" xfId="766" xr:uid="{00000000-0005-0000-0000-0000C4010000}"/>
    <cellStyle name="Įprastas 5 2 3 8 2 2" xfId="1773" xr:uid="{ACE2E891-4ADB-4419-9C86-EE9B332AB80A}"/>
    <cellStyle name="Įprastas 5 2 3 8 2 3" xfId="3350" xr:uid="{6FABDBE9-69DB-47D8-AE70-AB9AA23D2081}"/>
    <cellStyle name="Įprastas 5 2 3 8 2_Lapas1" xfId="1772" xr:uid="{1B4086E1-A1E5-4868-B7C6-875A91234BC6}"/>
    <cellStyle name="Įprastas 5 2 3 8 3" xfId="1774" xr:uid="{A25131C0-69AB-4BE0-A1BF-C246DDBBB490}"/>
    <cellStyle name="Įprastas 5 2 3 8 4" xfId="2781" xr:uid="{C7FF06A6-112D-4C37-A0B4-5F1A0A222A61}"/>
    <cellStyle name="Įprastas 5 2 3 8_8 priedas" xfId="1117" xr:uid="{00000000-0005-0000-0000-0000C5010000}"/>
    <cellStyle name="Įprastas 5 2 3 9" xfId="478" xr:uid="{00000000-0005-0000-0000-0000C6010000}"/>
    <cellStyle name="Įprastas 5 2 3 9 2" xfId="1776" xr:uid="{9F13BB72-DC82-4FD0-832F-931457957906}"/>
    <cellStyle name="Įprastas 5 2 3 9 3" xfId="3062" xr:uid="{205A5817-878A-49AB-8CE0-4CAD95A8B914}"/>
    <cellStyle name="Įprastas 5 2 3 9_Lapas1" xfId="1775" xr:uid="{9038E95F-7803-41D1-9F65-A42C23C45159}"/>
    <cellStyle name="Įprastas 5 2 3_8 priedas" xfId="29" xr:uid="{00000000-0005-0000-0000-0000C7010000}"/>
    <cellStyle name="Įprastas 5 2 4" xfId="23" xr:uid="{00000000-0005-0000-0000-0000C8010000}"/>
    <cellStyle name="Įprastas 5 2 4 10" xfId="2634" xr:uid="{69CE9EB9-6A7A-42BA-B54C-7CD780ACC2A3}"/>
    <cellStyle name="Įprastas 5 2 4 2" xfId="180" xr:uid="{00000000-0005-0000-0000-0000C9010000}"/>
    <cellStyle name="Įprastas 5 2 4 2 2" xfId="181" xr:uid="{00000000-0005-0000-0000-0000CA010000}"/>
    <cellStyle name="Įprastas 5 2 4 2 2 2" xfId="182" xr:uid="{00000000-0005-0000-0000-0000CB010000}"/>
    <cellStyle name="Įprastas 5 2 4 2 2 2 2" xfId="183" xr:uid="{00000000-0005-0000-0000-0000CC010000}"/>
    <cellStyle name="Įprastas 5 2 4 2 2 2 2 2" xfId="710" xr:uid="{00000000-0005-0000-0000-0000CD010000}"/>
    <cellStyle name="Įprastas 5 2 4 2 2 2 2 2 2" xfId="1778" xr:uid="{F3168E64-47FC-4B3B-95D8-60A28325DCED}"/>
    <cellStyle name="Įprastas 5 2 4 2 2 2 2 2 3" xfId="3294" xr:uid="{1D692EBC-FB01-4D1D-BDE3-C1C46670FE7D}"/>
    <cellStyle name="Įprastas 5 2 4 2 2 2 2 2_Lapas1" xfId="1777" xr:uid="{F5C1E371-4590-425E-A559-CD09B6CDFB6B}"/>
    <cellStyle name="Įprastas 5 2 4 2 2 2 2 3" xfId="1779" xr:uid="{1C9DDEF7-A78F-429C-90A7-67882B178D1F}"/>
    <cellStyle name="Įprastas 5 2 4 2 2 2 2 4" xfId="2785" xr:uid="{509ED5AB-8023-4F17-8879-D6FCF39F900C}"/>
    <cellStyle name="Įprastas 5 2 4 2 2 2 2_8 priedas" xfId="1052" xr:uid="{00000000-0005-0000-0000-0000CE010000}"/>
    <cellStyle name="Įprastas 5 2 4 2 2 2 3" xfId="184" xr:uid="{00000000-0005-0000-0000-0000CF010000}"/>
    <cellStyle name="Įprastas 5 2 4 2 2 2 3 2" xfId="854" xr:uid="{00000000-0005-0000-0000-0000D0010000}"/>
    <cellStyle name="Įprastas 5 2 4 2 2 2 3 2 2" xfId="1781" xr:uid="{DC9E9E6C-07D5-4F9C-831E-F5BFD030DBA5}"/>
    <cellStyle name="Įprastas 5 2 4 2 2 2 3 2 3" xfId="3438" xr:uid="{C29C70B7-27AA-4AA6-BEA5-8D3C438BB7D4}"/>
    <cellStyle name="Įprastas 5 2 4 2 2 2 3 2_Lapas1" xfId="1780" xr:uid="{C51CA9BA-050E-4243-B071-6CBB5AB7D118}"/>
    <cellStyle name="Įprastas 5 2 4 2 2 2 3 3" xfId="1782" xr:uid="{39344410-F401-40C6-940A-4774C4369B03}"/>
    <cellStyle name="Įprastas 5 2 4 2 2 2 3 4" xfId="2786" xr:uid="{8EA6697C-8265-4963-811C-193F6367A350}"/>
    <cellStyle name="Įprastas 5 2 4 2 2 2 3_8 priedas" xfId="1276" xr:uid="{00000000-0005-0000-0000-0000D1010000}"/>
    <cellStyle name="Įprastas 5 2 4 2 2 2 4" xfId="566" xr:uid="{00000000-0005-0000-0000-0000D2010000}"/>
    <cellStyle name="Įprastas 5 2 4 2 2 2 4 2" xfId="1784" xr:uid="{6B005D13-6654-44DB-B138-76B94C2581EE}"/>
    <cellStyle name="Įprastas 5 2 4 2 2 2 4 3" xfId="3150" xr:uid="{F95E0E5B-44D5-409B-B687-2FD8E0070648}"/>
    <cellStyle name="Įprastas 5 2 4 2 2 2 4_Lapas1" xfId="1783" xr:uid="{F53FE3BA-2C3B-4152-A4E4-589D49A838CC}"/>
    <cellStyle name="Įprastas 5 2 4 2 2 2 5" xfId="1785" xr:uid="{F29F7749-66FC-4B13-B7F2-1E84A9F35C3E}"/>
    <cellStyle name="Įprastas 5 2 4 2 2 2 6" xfId="2784" xr:uid="{E4B77232-576B-48DB-89BB-BFC74296C7E1}"/>
    <cellStyle name="Įprastas 5 2 4 2 2 2_8 priedas" xfId="1188" xr:uid="{00000000-0005-0000-0000-0000D3010000}"/>
    <cellStyle name="Įprastas 5 2 4 2 2 3" xfId="185" xr:uid="{00000000-0005-0000-0000-0000D4010000}"/>
    <cellStyle name="Įprastas 5 2 4 2 2 3 2" xfId="186" xr:uid="{00000000-0005-0000-0000-0000D5010000}"/>
    <cellStyle name="Įprastas 5 2 4 2 2 3 2 2" xfId="758" xr:uid="{00000000-0005-0000-0000-0000D6010000}"/>
    <cellStyle name="Įprastas 5 2 4 2 2 3 2 2 2" xfId="1787" xr:uid="{7423353E-A491-41D7-8F1D-D13CA19CC573}"/>
    <cellStyle name="Įprastas 5 2 4 2 2 3 2 2 3" xfId="3342" xr:uid="{26EF321B-55FC-4E7C-82CB-99F773491FFB}"/>
    <cellStyle name="Įprastas 5 2 4 2 2 3 2 2_Lapas1" xfId="1786" xr:uid="{A99CCB6F-150E-418E-9B89-9248B5FB4DA7}"/>
    <cellStyle name="Įprastas 5 2 4 2 2 3 2 3" xfId="1788" xr:uid="{6CC8DC00-6AAB-4F2B-939D-55F69530CFD5}"/>
    <cellStyle name="Įprastas 5 2 4 2 2 3 2 4" xfId="2788" xr:uid="{32C40F08-C961-475C-ACD6-BC8501EC5186}"/>
    <cellStyle name="Įprastas 5 2 4 2 2 3 2_8 priedas" xfId="1004" xr:uid="{00000000-0005-0000-0000-0000D7010000}"/>
    <cellStyle name="Įprastas 5 2 4 2 2 3 3" xfId="187" xr:uid="{00000000-0005-0000-0000-0000D8010000}"/>
    <cellStyle name="Įprastas 5 2 4 2 2 3 3 2" xfId="902" xr:uid="{00000000-0005-0000-0000-0000D9010000}"/>
    <cellStyle name="Įprastas 5 2 4 2 2 3 3 2 2" xfId="1790" xr:uid="{9D52AD99-0D65-47A7-9A01-7346CAFB1151}"/>
    <cellStyle name="Įprastas 5 2 4 2 2 3 3 2 3" xfId="3486" xr:uid="{E7AA2BC1-02AB-41A8-B715-662D531A334D}"/>
    <cellStyle name="Įprastas 5 2 4 2 2 3 3 2_Lapas1" xfId="1789" xr:uid="{5EDAEFE7-3269-4306-8D76-9BD50B15A3E2}"/>
    <cellStyle name="Įprastas 5 2 4 2 2 3 3 3" xfId="1791" xr:uid="{3EFB4271-87F1-49E1-8494-87A5DFE7237B}"/>
    <cellStyle name="Įprastas 5 2 4 2 2 3 3 4" xfId="2789" xr:uid="{CD2DCD65-9DCF-4755-B582-233E4386942B}"/>
    <cellStyle name="Įprastas 5 2 4 2 2 3 3_8 priedas" xfId="963" xr:uid="{00000000-0005-0000-0000-0000DA010000}"/>
    <cellStyle name="Įprastas 5 2 4 2 2 3 4" xfId="614" xr:uid="{00000000-0005-0000-0000-0000DB010000}"/>
    <cellStyle name="Įprastas 5 2 4 2 2 3 4 2" xfId="1793" xr:uid="{E7B31C5B-8030-404D-9CF3-736E78A4BF46}"/>
    <cellStyle name="Įprastas 5 2 4 2 2 3 4 3" xfId="3198" xr:uid="{9776051B-73A2-4C51-AECB-2E7BE801A14E}"/>
    <cellStyle name="Įprastas 5 2 4 2 2 3 4_Lapas1" xfId="1792" xr:uid="{2C9972C7-E940-4F64-A582-147BD9D518AC}"/>
    <cellStyle name="Įprastas 5 2 4 2 2 3 5" xfId="1794" xr:uid="{AF204DD3-993B-4F0E-993F-A681E8190BFC}"/>
    <cellStyle name="Įprastas 5 2 4 2 2 3 6" xfId="2787" xr:uid="{AE1B231C-8B81-41D9-84E8-3EF19FE6CBD3}"/>
    <cellStyle name="Įprastas 5 2 4 2 2 3_8 priedas" xfId="1140" xr:uid="{00000000-0005-0000-0000-0000DC010000}"/>
    <cellStyle name="Įprastas 5 2 4 2 2 4" xfId="188" xr:uid="{00000000-0005-0000-0000-0000DD010000}"/>
    <cellStyle name="Įprastas 5 2 4 2 2 4 2" xfId="662" xr:uid="{00000000-0005-0000-0000-0000DE010000}"/>
    <cellStyle name="Įprastas 5 2 4 2 2 4 2 2" xfId="1796" xr:uid="{284E567E-FF5B-4877-BC65-A355D278771B}"/>
    <cellStyle name="Įprastas 5 2 4 2 2 4 2 3" xfId="3246" xr:uid="{98AC18E2-F282-4C31-9FA5-5B22754599BB}"/>
    <cellStyle name="Įprastas 5 2 4 2 2 4 2_Lapas1" xfId="1795" xr:uid="{074BE21C-7238-48C4-8ED9-AB299A1D4D18}"/>
    <cellStyle name="Įprastas 5 2 4 2 2 4 3" xfId="1797" xr:uid="{164CD0E7-51BC-4586-9F31-0284B723C289}"/>
    <cellStyle name="Įprastas 5 2 4 2 2 4 4" xfId="2790" xr:uid="{952F3D65-FC9B-43F7-8292-3496611CD744}"/>
    <cellStyle name="Įprastas 5 2 4 2 2 4_8 priedas" xfId="934" xr:uid="{00000000-0005-0000-0000-0000DF010000}"/>
    <cellStyle name="Įprastas 5 2 4 2 2 5" xfId="189" xr:uid="{00000000-0005-0000-0000-0000E0010000}"/>
    <cellStyle name="Įprastas 5 2 4 2 2 5 2" xfId="806" xr:uid="{00000000-0005-0000-0000-0000E1010000}"/>
    <cellStyle name="Įprastas 5 2 4 2 2 5 2 2" xfId="1799" xr:uid="{D6E3A0BF-5B3A-4B1E-916C-1E62A77FC5B0}"/>
    <cellStyle name="Įprastas 5 2 4 2 2 5 2 3" xfId="3390" xr:uid="{01C0FBD0-A30B-4E72-B843-E99381CE5CCC}"/>
    <cellStyle name="Įprastas 5 2 4 2 2 5 2_Lapas1" xfId="1798" xr:uid="{9B32DBC3-4A19-4992-A6C7-B4888C53F585}"/>
    <cellStyle name="Įprastas 5 2 4 2 2 5 3" xfId="1800" xr:uid="{27454829-2142-4AD5-B3BF-298F42BE8719}"/>
    <cellStyle name="Įprastas 5 2 4 2 2 5 4" xfId="2791" xr:uid="{BD55F845-1865-4ADE-A48B-304100B1C139}"/>
    <cellStyle name="Įprastas 5 2 4 2 2 5_8 priedas" xfId="917" xr:uid="{00000000-0005-0000-0000-0000E2010000}"/>
    <cellStyle name="Įprastas 5 2 4 2 2 6" xfId="518" xr:uid="{00000000-0005-0000-0000-0000E3010000}"/>
    <cellStyle name="Įprastas 5 2 4 2 2 6 2" xfId="1802" xr:uid="{88055B6E-B4D5-492A-B3DB-4C95031B1B75}"/>
    <cellStyle name="Įprastas 5 2 4 2 2 6 3" xfId="3102" xr:uid="{CAC0918D-58BF-4FF9-AA2E-756C6E95F443}"/>
    <cellStyle name="Įprastas 5 2 4 2 2 6_Lapas1" xfId="1801" xr:uid="{207ED26F-ADC7-4D24-BB70-3F7B972B9919}"/>
    <cellStyle name="Įprastas 5 2 4 2 2 7" xfId="1803" xr:uid="{6794C7E8-1CF9-40CB-B4B6-7C9FFC87D5EA}"/>
    <cellStyle name="Įprastas 5 2 4 2 2 8" xfId="2783" xr:uid="{E34003D1-FBC1-4250-90E6-88FD275A79A9}"/>
    <cellStyle name="Įprastas 5 2 4 2 2_8 priedas" xfId="1325" xr:uid="{00000000-0005-0000-0000-0000E4010000}"/>
    <cellStyle name="Įprastas 5 2 4 2 3" xfId="190" xr:uid="{00000000-0005-0000-0000-0000E5010000}"/>
    <cellStyle name="Įprastas 5 2 4 2 3 2" xfId="191" xr:uid="{00000000-0005-0000-0000-0000E6010000}"/>
    <cellStyle name="Įprastas 5 2 4 2 3 2 2" xfId="686" xr:uid="{00000000-0005-0000-0000-0000E7010000}"/>
    <cellStyle name="Įprastas 5 2 4 2 3 2 2 2" xfId="1805" xr:uid="{384C535B-790B-49DC-A7CA-10FBB97E40D9}"/>
    <cellStyle name="Įprastas 5 2 4 2 3 2 2 3" xfId="3270" xr:uid="{D4601EFA-537B-4340-8C72-A058D9B09A75}"/>
    <cellStyle name="Įprastas 5 2 4 2 3 2 2_Lapas1" xfId="1804" xr:uid="{96D766FC-F26D-4CBB-922C-FAADA52C8638}"/>
    <cellStyle name="Įprastas 5 2 4 2 3 2 3" xfId="1806" xr:uid="{47AF1743-A30D-412C-8E35-372D406BFDA9}"/>
    <cellStyle name="Įprastas 5 2 4 2 3 2 4" xfId="2793" xr:uid="{1F6F4BF0-AD53-4E6A-8C2A-40BA510926BF}"/>
    <cellStyle name="Įprastas 5 2 4 2 3 2_8 priedas" xfId="921" xr:uid="{00000000-0005-0000-0000-0000E8010000}"/>
    <cellStyle name="Įprastas 5 2 4 2 3 3" xfId="192" xr:uid="{00000000-0005-0000-0000-0000E9010000}"/>
    <cellStyle name="Įprastas 5 2 4 2 3 3 2" xfId="830" xr:uid="{00000000-0005-0000-0000-0000EA010000}"/>
    <cellStyle name="Įprastas 5 2 4 2 3 3 2 2" xfId="1808" xr:uid="{EFD06C89-0343-4E31-86F7-104D581662AE}"/>
    <cellStyle name="Įprastas 5 2 4 2 3 3 2 3" xfId="3414" xr:uid="{1BAE6614-802A-4079-B329-4273B40561FD}"/>
    <cellStyle name="Įprastas 5 2 4 2 3 3 2_Lapas1" xfId="1807" xr:uid="{DAE17A6B-96A8-431E-9B36-0B0F2F6DBB2F}"/>
    <cellStyle name="Įprastas 5 2 4 2 3 3 3" xfId="1809" xr:uid="{41155EFE-C73A-4928-820C-536276281A25}"/>
    <cellStyle name="Įprastas 5 2 4 2 3 3 4" xfId="2794" xr:uid="{966CE266-0D86-48AC-A6B3-383E71367C20}"/>
    <cellStyle name="Įprastas 5 2 4 2 3 3_8 priedas" xfId="1192" xr:uid="{00000000-0005-0000-0000-0000EB010000}"/>
    <cellStyle name="Įprastas 5 2 4 2 3 4" xfId="542" xr:uid="{00000000-0005-0000-0000-0000EC010000}"/>
    <cellStyle name="Įprastas 5 2 4 2 3 4 2" xfId="1811" xr:uid="{D5C02EE8-3767-4792-B444-3EDCF010C5E7}"/>
    <cellStyle name="Įprastas 5 2 4 2 3 4 3" xfId="3126" xr:uid="{8D16B1D8-2034-4207-8A13-D71F183A80B9}"/>
    <cellStyle name="Įprastas 5 2 4 2 3 4_Lapas1" xfId="1810" xr:uid="{AAEA455F-426C-4250-A20B-0A6797670460}"/>
    <cellStyle name="Įprastas 5 2 4 2 3 5" xfId="1812" xr:uid="{38270530-D4F5-4A31-AACF-787971D7A210}"/>
    <cellStyle name="Įprastas 5 2 4 2 3 6" xfId="2792" xr:uid="{0A5A0553-2BC8-4C5F-933A-AE5E222CED55}"/>
    <cellStyle name="Įprastas 5 2 4 2 3_8 priedas" xfId="910" xr:uid="{00000000-0005-0000-0000-0000ED010000}"/>
    <cellStyle name="Įprastas 5 2 4 2 4" xfId="193" xr:uid="{00000000-0005-0000-0000-0000EE010000}"/>
    <cellStyle name="Įprastas 5 2 4 2 4 2" xfId="194" xr:uid="{00000000-0005-0000-0000-0000EF010000}"/>
    <cellStyle name="Įprastas 5 2 4 2 4 2 2" xfId="734" xr:uid="{00000000-0005-0000-0000-0000F0010000}"/>
    <cellStyle name="Įprastas 5 2 4 2 4 2 2 2" xfId="1814" xr:uid="{B151792F-93E6-4820-A32C-22CF6CB5603C}"/>
    <cellStyle name="Įprastas 5 2 4 2 4 2 2 3" xfId="3318" xr:uid="{265A0E62-3D21-4F3A-AB2F-97C5657A7DF4}"/>
    <cellStyle name="Įprastas 5 2 4 2 4 2 2_Lapas1" xfId="1813" xr:uid="{320FBC90-E5C8-409E-983A-EA3D98140D65}"/>
    <cellStyle name="Įprastas 5 2 4 2 4 2 3" xfId="1815" xr:uid="{E35655F2-44A6-4918-9A32-B0159E7B9A24}"/>
    <cellStyle name="Įprastas 5 2 4 2 4 2 4" xfId="2796" xr:uid="{43EA3A50-2036-4BEE-9C7C-013E580B679A}"/>
    <cellStyle name="Įprastas 5 2 4 2 4 2_8 priedas" xfId="1282" xr:uid="{00000000-0005-0000-0000-0000F1010000}"/>
    <cellStyle name="Įprastas 5 2 4 2 4 3" xfId="195" xr:uid="{00000000-0005-0000-0000-0000F2010000}"/>
    <cellStyle name="Įprastas 5 2 4 2 4 3 2" xfId="878" xr:uid="{00000000-0005-0000-0000-0000F3010000}"/>
    <cellStyle name="Įprastas 5 2 4 2 4 3 2 2" xfId="1817" xr:uid="{68752074-9B49-4D69-AACA-2AF03D34E204}"/>
    <cellStyle name="Įprastas 5 2 4 2 4 3 2 3" xfId="3462" xr:uid="{E915F54A-AD5D-4663-9B4D-218F67A9316D}"/>
    <cellStyle name="Įprastas 5 2 4 2 4 3 2_Lapas1" xfId="1816" xr:uid="{248F652A-4BDF-4311-9768-2827D8E705B8}"/>
    <cellStyle name="Įprastas 5 2 4 2 4 3 3" xfId="1818" xr:uid="{3ECC2BA1-7175-44BF-815F-1172E32CD6EB}"/>
    <cellStyle name="Įprastas 5 2 4 2 4 3 4" xfId="2797" xr:uid="{5BCC14E1-12C1-4254-B854-AB73BB2FB7B9}"/>
    <cellStyle name="Įprastas 5 2 4 2 4 3_8 priedas" xfId="1146" xr:uid="{00000000-0005-0000-0000-0000F4010000}"/>
    <cellStyle name="Įprastas 5 2 4 2 4 4" xfId="590" xr:uid="{00000000-0005-0000-0000-0000F5010000}"/>
    <cellStyle name="Įprastas 5 2 4 2 4 4 2" xfId="1820" xr:uid="{44621E2E-7A84-43DD-9ADE-1C2CDE2A864A}"/>
    <cellStyle name="Įprastas 5 2 4 2 4 4 3" xfId="3174" xr:uid="{9EFEB2F0-DDC5-4F97-B6FA-FBB00D24957B}"/>
    <cellStyle name="Įprastas 5 2 4 2 4 4_Lapas1" xfId="1819" xr:uid="{5710A9E0-10C9-4DD5-9278-F1BF8C9F7026}"/>
    <cellStyle name="Įprastas 5 2 4 2 4 5" xfId="1821" xr:uid="{2C83D7DC-6FF5-4349-B0D5-68F40B52740C}"/>
    <cellStyle name="Įprastas 5 2 4 2 4 6" xfId="2795" xr:uid="{9D435AA4-B6E3-4891-B96B-5425820C320B}"/>
    <cellStyle name="Įprastas 5 2 4 2 4_8 priedas" xfId="1057" xr:uid="{00000000-0005-0000-0000-0000F6010000}"/>
    <cellStyle name="Įprastas 5 2 4 2 5" xfId="196" xr:uid="{00000000-0005-0000-0000-0000F7010000}"/>
    <cellStyle name="Įprastas 5 2 4 2 5 2" xfId="638" xr:uid="{00000000-0005-0000-0000-0000F8010000}"/>
    <cellStyle name="Įprastas 5 2 4 2 5 2 2" xfId="1823" xr:uid="{6882B9E1-A991-4C17-AA61-15C520FF5305}"/>
    <cellStyle name="Įprastas 5 2 4 2 5 2 3" xfId="3222" xr:uid="{C73A806C-08C2-47AD-8BA9-0ADEA4C8BB26}"/>
    <cellStyle name="Įprastas 5 2 4 2 5 2_Lapas1" xfId="1822" xr:uid="{A816DEB9-470C-4512-83E3-A0D034429A7A}"/>
    <cellStyle name="Įprastas 5 2 4 2 5 3" xfId="1824" xr:uid="{072F6F0F-2E65-4E4E-AB0E-8FCA9B643468}"/>
    <cellStyle name="Įprastas 5 2 4 2 5 4" xfId="2798" xr:uid="{69B93131-C044-4D96-B64B-E984FCD07BEB}"/>
    <cellStyle name="Įprastas 5 2 4 2 5_8 priedas" xfId="1010" xr:uid="{00000000-0005-0000-0000-0000F9010000}"/>
    <cellStyle name="Įprastas 5 2 4 2 6" xfId="197" xr:uid="{00000000-0005-0000-0000-0000FA010000}"/>
    <cellStyle name="Įprastas 5 2 4 2 6 2" xfId="782" xr:uid="{00000000-0005-0000-0000-0000FB010000}"/>
    <cellStyle name="Įprastas 5 2 4 2 6 2 2" xfId="1826" xr:uid="{920078FA-EC11-4528-BF80-B41763B3DBCF}"/>
    <cellStyle name="Įprastas 5 2 4 2 6 2 3" xfId="3366" xr:uid="{0A267313-C30D-450F-80EB-176686B97E60}"/>
    <cellStyle name="Įprastas 5 2 4 2 6 2_Lapas1" xfId="1825" xr:uid="{F81837AB-27D3-44B0-822C-089A386F5BF5}"/>
    <cellStyle name="Įprastas 5 2 4 2 6 3" xfId="1827" xr:uid="{6BA8D729-9F86-4C3B-BFE4-C87B6F59B379}"/>
    <cellStyle name="Įprastas 5 2 4 2 6 4" xfId="2799" xr:uid="{7457358E-9AA1-4568-8BA1-4EE44E42D03F}"/>
    <cellStyle name="Įprastas 5 2 4 2 6_8 priedas" xfId="1236" xr:uid="{00000000-0005-0000-0000-0000FC010000}"/>
    <cellStyle name="Įprastas 5 2 4 2 7" xfId="494" xr:uid="{00000000-0005-0000-0000-0000FD010000}"/>
    <cellStyle name="Įprastas 5 2 4 2 7 2" xfId="1829" xr:uid="{953AB6FC-5593-46DA-99C4-79A415ADC5F6}"/>
    <cellStyle name="Įprastas 5 2 4 2 7 3" xfId="3078" xr:uid="{C981C439-77EE-4F5A-94F2-7EC12545D244}"/>
    <cellStyle name="Įprastas 5 2 4 2 7_Lapas1" xfId="1828" xr:uid="{C3791085-59C3-4158-A445-48033B9F74F7}"/>
    <cellStyle name="Įprastas 5 2 4 2 8" xfId="1830" xr:uid="{7C54BDE8-81FB-403F-BF79-036524FF2F87}"/>
    <cellStyle name="Įprastas 5 2 4 2 9" xfId="2782" xr:uid="{44CC854E-34F1-45C0-898F-1831552AF9DB}"/>
    <cellStyle name="Įprastas 5 2 4 2_8 priedas" xfId="1100" xr:uid="{00000000-0005-0000-0000-0000FE010000}"/>
    <cellStyle name="Įprastas 5 2 4 3" xfId="198" xr:uid="{00000000-0005-0000-0000-0000FF010000}"/>
    <cellStyle name="Įprastas 5 2 4 3 2" xfId="199" xr:uid="{00000000-0005-0000-0000-000000020000}"/>
    <cellStyle name="Įprastas 5 2 4 3 2 2" xfId="200" xr:uid="{00000000-0005-0000-0000-000001020000}"/>
    <cellStyle name="Įprastas 5 2 4 3 2 2 2" xfId="698" xr:uid="{00000000-0005-0000-0000-000002020000}"/>
    <cellStyle name="Įprastas 5 2 4 3 2 2 2 2" xfId="1832" xr:uid="{06F01C7E-5891-40EF-A5F1-7A041F3D504C}"/>
    <cellStyle name="Įprastas 5 2 4 3 2 2 2 3" xfId="3282" xr:uid="{3BE2D09D-9D9C-4CA3-AEA1-B5618BF8772B}"/>
    <cellStyle name="Įprastas 5 2 4 3 2 2 2_Lapas1" xfId="1831" xr:uid="{B7C472F8-23E4-4A36-8729-44E0E1B249D3}"/>
    <cellStyle name="Įprastas 5 2 4 3 2 2 3" xfId="1833" xr:uid="{C6C25A72-AA76-4CCA-B73A-172035EC97D5}"/>
    <cellStyle name="Įprastas 5 2 4 3 2 2 4" xfId="2802" xr:uid="{1EC8211F-5650-443D-AD30-662E3E18272D}"/>
    <cellStyle name="Įprastas 5 2 4 3 2 2_8 priedas" xfId="1217" xr:uid="{00000000-0005-0000-0000-000003020000}"/>
    <cellStyle name="Įprastas 5 2 4 3 2 3" xfId="201" xr:uid="{00000000-0005-0000-0000-000004020000}"/>
    <cellStyle name="Įprastas 5 2 4 3 2 3 2" xfId="842" xr:uid="{00000000-0005-0000-0000-000005020000}"/>
    <cellStyle name="Įprastas 5 2 4 3 2 3 2 2" xfId="1835" xr:uid="{C513E5A6-95A0-4E3C-AA6F-78DCC8C2788C}"/>
    <cellStyle name="Įprastas 5 2 4 3 2 3 2 3" xfId="3426" xr:uid="{7128688B-0BBC-4C2C-AE0C-B09C74F663ED}"/>
    <cellStyle name="Įprastas 5 2 4 3 2 3 2_Lapas1" xfId="1834" xr:uid="{03006B21-D1F7-40D1-B5FC-0B33B0591B34}"/>
    <cellStyle name="Įprastas 5 2 4 3 2 3 3" xfId="1836" xr:uid="{D0C42779-6F44-4C90-9738-3D2004C1B06B}"/>
    <cellStyle name="Įprastas 5 2 4 3 2 3 4" xfId="2803" xr:uid="{272362DC-7883-4D67-9821-E9B47C02407E}"/>
    <cellStyle name="Įprastas 5 2 4 3 2 3_8 priedas" xfId="1083" xr:uid="{00000000-0005-0000-0000-000006020000}"/>
    <cellStyle name="Įprastas 5 2 4 3 2 4" xfId="554" xr:uid="{00000000-0005-0000-0000-000007020000}"/>
    <cellStyle name="Įprastas 5 2 4 3 2 4 2" xfId="1838" xr:uid="{1E7318F3-0BD6-45E6-B055-E25149AE25B1}"/>
    <cellStyle name="Įprastas 5 2 4 3 2 4 3" xfId="3138" xr:uid="{B004112F-FA04-4A7C-9452-A726F3C3E871}"/>
    <cellStyle name="Įprastas 5 2 4 3 2 4_Lapas1" xfId="1837" xr:uid="{52AA195D-2C6C-49B4-B513-41498482A9DA}"/>
    <cellStyle name="Įprastas 5 2 4 3 2 5" xfId="1839" xr:uid="{F0C0A3BA-692C-4797-9CB3-5E15133812F7}"/>
    <cellStyle name="Įprastas 5 2 4 3 2 6" xfId="2801" xr:uid="{2AF0A1B9-7FF1-4738-9BBB-6D0AF593A94B}"/>
    <cellStyle name="Įprastas 5 2 4 3 2_8 priedas" xfId="969" xr:uid="{00000000-0005-0000-0000-000008020000}"/>
    <cellStyle name="Įprastas 5 2 4 3 3" xfId="202" xr:uid="{00000000-0005-0000-0000-000009020000}"/>
    <cellStyle name="Įprastas 5 2 4 3 3 2" xfId="203" xr:uid="{00000000-0005-0000-0000-00000A020000}"/>
    <cellStyle name="Įprastas 5 2 4 3 3 2 2" xfId="746" xr:uid="{00000000-0005-0000-0000-00000B020000}"/>
    <cellStyle name="Įprastas 5 2 4 3 3 2 2 2" xfId="1841" xr:uid="{79BF6738-C22C-40DE-950A-6CA6F424C997}"/>
    <cellStyle name="Įprastas 5 2 4 3 3 2 2 3" xfId="3330" xr:uid="{A7649E8D-C6BA-4572-9DF7-9C95205467EC}"/>
    <cellStyle name="Įprastas 5 2 4 3 3 2 2_Lapas1" xfId="1840" xr:uid="{5A4ED06A-56CD-44FB-8BE2-7CBFE9F1DC50}"/>
    <cellStyle name="Įprastas 5 2 4 3 3 2 3" xfId="1842" xr:uid="{C2D9B7F0-4D62-44E6-8AD5-BF8D6AB0F4B9}"/>
    <cellStyle name="Įprastas 5 2 4 3 3 2 4" xfId="2805" xr:uid="{FE174F0E-C22F-4896-BF4D-1206D003E15B}"/>
    <cellStyle name="Įprastas 5 2 4 3 3 2_8 priedas" xfId="1171" xr:uid="{00000000-0005-0000-0000-00000C020000}"/>
    <cellStyle name="Įprastas 5 2 4 3 3 3" xfId="204" xr:uid="{00000000-0005-0000-0000-00000D020000}"/>
    <cellStyle name="Įprastas 5 2 4 3 3 3 2" xfId="890" xr:uid="{00000000-0005-0000-0000-00000E020000}"/>
    <cellStyle name="Įprastas 5 2 4 3 3 3 2 2" xfId="1844" xr:uid="{E23365DE-F0DC-4531-B183-476944204095}"/>
    <cellStyle name="Įprastas 5 2 4 3 3 3 2 3" xfId="3474" xr:uid="{B3486F50-ADFA-4B27-88B2-6C751F7E52E6}"/>
    <cellStyle name="Įprastas 5 2 4 3 3 3 2_Lapas1" xfId="1843" xr:uid="{8AFCFDE9-D624-4DA2-B154-ADC903726A17}"/>
    <cellStyle name="Įprastas 5 2 4 3 3 3 3" xfId="1845" xr:uid="{25357BE7-0106-41EB-89E9-564B040957D1}"/>
    <cellStyle name="Įprastas 5 2 4 3 3 3 4" xfId="2806" xr:uid="{1485DFFD-A18C-47C2-A7DB-2BB37E8F13C2}"/>
    <cellStyle name="Įprastas 5 2 4 3 3 3_8 priedas" xfId="1035" xr:uid="{00000000-0005-0000-0000-00000F020000}"/>
    <cellStyle name="Įprastas 5 2 4 3 3 4" xfId="602" xr:uid="{00000000-0005-0000-0000-000010020000}"/>
    <cellStyle name="Įprastas 5 2 4 3 3 4 2" xfId="1847" xr:uid="{6754D5CB-2CA1-45F0-BEE3-B5B192B982DC}"/>
    <cellStyle name="Įprastas 5 2 4 3 3 4 3" xfId="3186" xr:uid="{C4A14273-D9ED-4710-9805-0C5F3D133B18}"/>
    <cellStyle name="Įprastas 5 2 4 3 3 4_Lapas1" xfId="1846" xr:uid="{8A162736-6D7C-4A56-B59C-7FBF1C2812EC}"/>
    <cellStyle name="Įprastas 5 2 4 3 3 5" xfId="1848" xr:uid="{EE4BF077-A608-48D9-A163-18410CF31907}"/>
    <cellStyle name="Įprastas 5 2 4 3 3 6" xfId="2804" xr:uid="{A003AE69-7FC3-4D16-9C57-9F165AB217AC}"/>
    <cellStyle name="Įprastas 5 2 4 3 3_8 priedas" xfId="1308" xr:uid="{00000000-0005-0000-0000-000011020000}"/>
    <cellStyle name="Įprastas 5 2 4 3 4" xfId="205" xr:uid="{00000000-0005-0000-0000-000012020000}"/>
    <cellStyle name="Įprastas 5 2 4 3 4 2" xfId="650" xr:uid="{00000000-0005-0000-0000-000013020000}"/>
    <cellStyle name="Įprastas 5 2 4 3 4 2 2" xfId="1850" xr:uid="{2924AE21-279C-4940-9AD1-BAEDF6EFD8DA}"/>
    <cellStyle name="Įprastas 5 2 4 3 4 2 3" xfId="3234" xr:uid="{B1FE4D7D-7F0D-40CE-953D-A54659A5F731}"/>
    <cellStyle name="Įprastas 5 2 4 3 4 2_Lapas1" xfId="1849" xr:uid="{741FA100-D01F-4F91-9B06-B769C9C42225}"/>
    <cellStyle name="Įprastas 5 2 4 3 4 3" xfId="1851" xr:uid="{45BB54CE-3F9B-4628-9291-278D600971E3}"/>
    <cellStyle name="Įprastas 5 2 4 3 4 4" xfId="2807" xr:uid="{48A7DBCF-6741-4383-AFBF-927AE250BE91}"/>
    <cellStyle name="Įprastas 5 2 4 3 4_8 priedas" xfId="1259" xr:uid="{00000000-0005-0000-0000-000014020000}"/>
    <cellStyle name="Įprastas 5 2 4 3 5" xfId="206" xr:uid="{00000000-0005-0000-0000-000015020000}"/>
    <cellStyle name="Įprastas 5 2 4 3 5 2" xfId="794" xr:uid="{00000000-0005-0000-0000-000016020000}"/>
    <cellStyle name="Įprastas 5 2 4 3 5 2 2" xfId="1853" xr:uid="{419E3381-1ABB-49AE-B14F-1E82396F1456}"/>
    <cellStyle name="Įprastas 5 2 4 3 5 2 3" xfId="3378" xr:uid="{240D90E2-EC42-4663-A9F4-317093C81DC8}"/>
    <cellStyle name="Įprastas 5 2 4 3 5 2_Lapas1" xfId="1852" xr:uid="{D9ED2CC2-7891-48EE-A90C-BF4B24F67739}"/>
    <cellStyle name="Įprastas 5 2 4 3 5 3" xfId="1854" xr:uid="{39C32D54-1843-4D93-9A3D-8D9C395E9BC0}"/>
    <cellStyle name="Įprastas 5 2 4 3 5 4" xfId="2808" xr:uid="{FC1F8DD9-3373-4A8B-9F13-CFD2C545548F}"/>
    <cellStyle name="Įprastas 5 2 4 3 5_8 priedas" xfId="1123" xr:uid="{00000000-0005-0000-0000-000017020000}"/>
    <cellStyle name="Įprastas 5 2 4 3 6" xfId="506" xr:uid="{00000000-0005-0000-0000-000018020000}"/>
    <cellStyle name="Įprastas 5 2 4 3 6 2" xfId="1856" xr:uid="{5B7E825B-D089-44CD-B820-7DBF39F5E62D}"/>
    <cellStyle name="Įprastas 5 2 4 3 6 3" xfId="3090" xr:uid="{64FCB770-F83A-4004-9856-77C549D48B79}"/>
    <cellStyle name="Įprastas 5 2 4 3 6_Lapas1" xfId="1855" xr:uid="{0BC877F9-753B-42D0-891F-D799D8741947}"/>
    <cellStyle name="Įprastas 5 2 4 3 7" xfId="1857" xr:uid="{A85F9519-7B54-4C58-A910-BDB3024E180D}"/>
    <cellStyle name="Įprastas 5 2 4 3 8" xfId="2800" xr:uid="{8146959F-EF19-4B05-9565-2AAEF1C22F73}"/>
    <cellStyle name="Įprastas 5 2 4 3_8 priedas" xfId="1106" xr:uid="{00000000-0005-0000-0000-000019020000}"/>
    <cellStyle name="Įprastas 5 2 4 4" xfId="207" xr:uid="{00000000-0005-0000-0000-00001A020000}"/>
    <cellStyle name="Įprastas 5 2 4 4 2" xfId="208" xr:uid="{00000000-0005-0000-0000-00001B020000}"/>
    <cellStyle name="Įprastas 5 2 4 4 2 2" xfId="674" xr:uid="{00000000-0005-0000-0000-00001C020000}"/>
    <cellStyle name="Įprastas 5 2 4 4 2 2 2" xfId="1859" xr:uid="{B68F66AD-FE12-41F2-B522-150934EE411A}"/>
    <cellStyle name="Įprastas 5 2 4 4 2 2 3" xfId="3258" xr:uid="{FD7EEFB4-C5E1-4F41-A7EC-8B84F44A0A96}"/>
    <cellStyle name="Įprastas 5 2 4 4 2 2_Lapas1" xfId="1858" xr:uid="{3F4E4D31-FA48-433A-84A2-91425F966593}"/>
    <cellStyle name="Įprastas 5 2 4 4 2 3" xfId="1860" xr:uid="{B53794AE-17B8-433B-8AEC-5D122FAD812E}"/>
    <cellStyle name="Įprastas 5 2 4 4 2 4" xfId="2810" xr:uid="{B33B798E-3991-4FEF-85FE-93A29A57DA94}"/>
    <cellStyle name="Įprastas 5 2 4 4 2_8 priedas" xfId="946" xr:uid="{00000000-0005-0000-0000-00001D020000}"/>
    <cellStyle name="Įprastas 5 2 4 4 3" xfId="209" xr:uid="{00000000-0005-0000-0000-00001E020000}"/>
    <cellStyle name="Įprastas 5 2 4 4 3 2" xfId="818" xr:uid="{00000000-0005-0000-0000-00001F020000}"/>
    <cellStyle name="Įprastas 5 2 4 4 3 2 2" xfId="1862" xr:uid="{CCF49939-87A6-4175-ACBD-1E938673BAB6}"/>
    <cellStyle name="Įprastas 5 2 4 4 3 2 3" xfId="3402" xr:uid="{DA6A74F7-E19B-49CD-9232-D19CEBE0BD6B}"/>
    <cellStyle name="Įprastas 5 2 4 4 3 2_Lapas1" xfId="1861" xr:uid="{DB2C6BA7-3B10-4A32-92AB-D3B792A055F5}"/>
    <cellStyle name="Įprastas 5 2 4 4 3 3" xfId="1863" xr:uid="{D536FAB4-CE4A-4943-82CD-9DED0493F24B}"/>
    <cellStyle name="Įprastas 5 2 4 4 3 4" xfId="2811" xr:uid="{B0467960-B27C-43C9-B405-3813F8775F12}"/>
    <cellStyle name="Įprastas 5 2 4 4 3_8 priedas" xfId="1205" xr:uid="{00000000-0005-0000-0000-000020020000}"/>
    <cellStyle name="Įprastas 5 2 4 4 4" xfId="530" xr:uid="{00000000-0005-0000-0000-000021020000}"/>
    <cellStyle name="Įprastas 5 2 4 4 4 2" xfId="1865" xr:uid="{D1B85E91-C512-4C1B-A060-8D1A35FFA9E4}"/>
    <cellStyle name="Įprastas 5 2 4 4 4 3" xfId="3114" xr:uid="{07CDBDFD-C82B-4C03-9821-8417AA367920}"/>
    <cellStyle name="Įprastas 5 2 4 4 4_Lapas1" xfId="1864" xr:uid="{00EB55CE-E2E3-4F08-927B-CCB9F4C2CAAE}"/>
    <cellStyle name="Įprastas 5 2 4 4 5" xfId="1866" xr:uid="{D6C75732-2BF6-415E-947E-748BD58E5B08}"/>
    <cellStyle name="Įprastas 5 2 4 4 6" xfId="2809" xr:uid="{723FEF6E-D494-42CB-A7AA-4AF378D6B0CF}"/>
    <cellStyle name="Įprastas 5 2 4 4_8 priedas" xfId="987" xr:uid="{00000000-0005-0000-0000-000022020000}"/>
    <cellStyle name="Įprastas 5 2 4 5" xfId="210" xr:uid="{00000000-0005-0000-0000-000023020000}"/>
    <cellStyle name="Įprastas 5 2 4 5 2" xfId="211" xr:uid="{00000000-0005-0000-0000-000024020000}"/>
    <cellStyle name="Įprastas 5 2 4 5 2 2" xfId="722" xr:uid="{00000000-0005-0000-0000-000025020000}"/>
    <cellStyle name="Įprastas 5 2 4 5 2 2 2" xfId="1868" xr:uid="{4DC615B8-995F-43A3-B83D-B57DBDF423B4}"/>
    <cellStyle name="Įprastas 5 2 4 5 2 2 3" xfId="3306" xr:uid="{A17CD0C0-38BB-451D-88D0-C0AE4396BC13}"/>
    <cellStyle name="Įprastas 5 2 4 5 2 2_Lapas1" xfId="1867" xr:uid="{B5DD45CC-DF7C-47E9-897E-3D520C877A2E}"/>
    <cellStyle name="Įprastas 5 2 4 5 2 3" xfId="1869" xr:uid="{666329EE-C506-4391-A2A3-93B01B29FD72}"/>
    <cellStyle name="Įprastas 5 2 4 5 2 4" xfId="2813" xr:uid="{CAEA13BE-112D-40DA-995E-EC33A58057F2}"/>
    <cellStyle name="Įprastas 5 2 4 5 2_8 priedas" xfId="1296" xr:uid="{00000000-0005-0000-0000-000026020000}"/>
    <cellStyle name="Įprastas 5 2 4 5 3" xfId="212" xr:uid="{00000000-0005-0000-0000-000027020000}"/>
    <cellStyle name="Įprastas 5 2 4 5 3 2" xfId="866" xr:uid="{00000000-0005-0000-0000-000028020000}"/>
    <cellStyle name="Įprastas 5 2 4 5 3 2 2" xfId="1871" xr:uid="{65FDBEED-C38F-4B2C-AB02-940DA75A2F26}"/>
    <cellStyle name="Įprastas 5 2 4 5 3 2 3" xfId="3450" xr:uid="{47840810-DB63-40BB-90DF-781DE21BEC5C}"/>
    <cellStyle name="Įprastas 5 2 4 5 3 2_Lapas1" xfId="1870" xr:uid="{26D173CC-8B6C-41E7-B78D-24DE0FE68E53}"/>
    <cellStyle name="Įprastas 5 2 4 5 3 3" xfId="1872" xr:uid="{124FE407-DD39-488D-95DC-8D117AB5AFB9}"/>
    <cellStyle name="Įprastas 5 2 4 5 3 4" xfId="2814" xr:uid="{63FE2B7B-6152-4DD7-8F9B-18CD5C289505}"/>
    <cellStyle name="Įprastas 5 2 4 5 3_8 priedas" xfId="1159" xr:uid="{00000000-0005-0000-0000-000029020000}"/>
    <cellStyle name="Įprastas 5 2 4 5 4" xfId="578" xr:uid="{00000000-0005-0000-0000-00002A020000}"/>
    <cellStyle name="Įprastas 5 2 4 5 4 2" xfId="1874" xr:uid="{A1B0F362-E0BE-48CB-89FA-B5F1ECF7D017}"/>
    <cellStyle name="Įprastas 5 2 4 5 4 3" xfId="3162" xr:uid="{7F783C02-7635-44C9-B10E-F2C93DFBCAC8}"/>
    <cellStyle name="Įprastas 5 2 4 5 4_Lapas1" xfId="1873" xr:uid="{596FD740-59C5-4719-B1ED-FEA377F75B2F}"/>
    <cellStyle name="Įprastas 5 2 4 5 5" xfId="1875" xr:uid="{0601E382-452C-4983-BD50-EE2DC6E6C407}"/>
    <cellStyle name="Įprastas 5 2 4 5 6" xfId="2812" xr:uid="{29097BFB-86B7-4B28-BAB5-D35A8AD432C5}"/>
    <cellStyle name="Įprastas 5 2 4 5_8 priedas" xfId="1071" xr:uid="{00000000-0005-0000-0000-00002B020000}"/>
    <cellStyle name="Įprastas 5 2 4 6" xfId="213" xr:uid="{00000000-0005-0000-0000-00002C020000}"/>
    <cellStyle name="Įprastas 5 2 4 6 2" xfId="626" xr:uid="{00000000-0005-0000-0000-00002D020000}"/>
    <cellStyle name="Įprastas 5 2 4 6 2 2" xfId="1877" xr:uid="{BCB61355-1B7C-447E-B0EB-8EB516AB4299}"/>
    <cellStyle name="Įprastas 5 2 4 6 2 3" xfId="3210" xr:uid="{18D8845D-1E0B-4765-A2D0-3F8E09A71DA5}"/>
    <cellStyle name="Įprastas 5 2 4 6 2_Lapas1" xfId="1876" xr:uid="{F5875852-0FCC-455A-9EEE-576B52A2FA12}"/>
    <cellStyle name="Įprastas 5 2 4 6 3" xfId="1878" xr:uid="{958E0489-0E89-4ACB-B405-852713732DAF}"/>
    <cellStyle name="Įprastas 5 2 4 6 4" xfId="2815" xr:uid="{5E92AE45-41A5-45AD-A745-81CB7AB65204}"/>
    <cellStyle name="Įprastas 5 2 4 6_8 priedas" xfId="1024" xr:uid="{00000000-0005-0000-0000-00002E020000}"/>
    <cellStyle name="Įprastas 5 2 4 7" xfId="214" xr:uid="{00000000-0005-0000-0000-00002F020000}"/>
    <cellStyle name="Įprastas 5 2 4 7 2" xfId="770" xr:uid="{00000000-0005-0000-0000-000030020000}"/>
    <cellStyle name="Įprastas 5 2 4 7 2 2" xfId="1880" xr:uid="{8352A0E7-71E3-4C4B-BE2C-122E3549545C}"/>
    <cellStyle name="Įprastas 5 2 4 7 2 3" xfId="3354" xr:uid="{02994C20-9A59-4FEC-9362-48691D48F076}"/>
    <cellStyle name="Įprastas 5 2 4 7 2_Lapas1" xfId="1879" xr:uid="{7EEA845A-3334-43A0-AF12-CFCF69847DF2}"/>
    <cellStyle name="Įprastas 5 2 4 7 3" xfId="1881" xr:uid="{CE88DB23-8765-4CAF-893B-BBB03DFF231C}"/>
    <cellStyle name="Įprastas 5 2 4 7 4" xfId="2816" xr:uid="{E772843D-D344-4A29-A82D-6CC62D09306B}"/>
    <cellStyle name="Įprastas 5 2 4 7_8 priedas" xfId="1249" xr:uid="{00000000-0005-0000-0000-000031020000}"/>
    <cellStyle name="Įprastas 5 2 4 8" xfId="482" xr:uid="{00000000-0005-0000-0000-000032020000}"/>
    <cellStyle name="Įprastas 5 2 4 8 2" xfId="1883" xr:uid="{0D46A591-3465-49A6-A6FF-608E0A1EBDDC}"/>
    <cellStyle name="Įprastas 5 2 4 8 3" xfId="3066" xr:uid="{860DB479-9D52-4B35-B728-CA4C19F4B8D5}"/>
    <cellStyle name="Įprastas 5 2 4 8_Lapas1" xfId="1882" xr:uid="{CF5A7FCC-026B-4B0F-ABEB-83D8A401A913}"/>
    <cellStyle name="Įprastas 5 2 4 9" xfId="1884" xr:uid="{8F6445D3-8856-41AF-9715-A300A32FE8AB}"/>
    <cellStyle name="Įprastas 5 2 4_8 priedas" xfId="179" xr:uid="{00000000-0005-0000-0000-000033020000}"/>
    <cellStyle name="Įprastas 5 2 5" xfId="215" xr:uid="{00000000-0005-0000-0000-000034020000}"/>
    <cellStyle name="Įprastas 5 2 5 2" xfId="216" xr:uid="{00000000-0005-0000-0000-000035020000}"/>
    <cellStyle name="Įprastas 5 2 5 2 2" xfId="217" xr:uid="{00000000-0005-0000-0000-000036020000}"/>
    <cellStyle name="Įprastas 5 2 5 2 2 2" xfId="218" xr:uid="{00000000-0005-0000-0000-000037020000}"/>
    <cellStyle name="Įprastas 5 2 5 2 2 2 2" xfId="704" xr:uid="{00000000-0005-0000-0000-000038020000}"/>
    <cellStyle name="Įprastas 5 2 5 2 2 2 2 2" xfId="1886" xr:uid="{FF983495-4BBF-4515-9F4E-E3CED1C72843}"/>
    <cellStyle name="Įprastas 5 2 5 2 2 2 2 3" xfId="3288" xr:uid="{F624A66A-D285-49F9-A488-B47AA0CF8585}"/>
    <cellStyle name="Įprastas 5 2 5 2 2 2 2_Lapas1" xfId="1885" xr:uid="{2BED343B-AFEE-4395-A19F-D6306718AED9}"/>
    <cellStyle name="Įprastas 5 2 5 2 2 2 3" xfId="1887" xr:uid="{77308A84-6365-4EF8-86C4-63E909437430}"/>
    <cellStyle name="Įprastas 5 2 5 2 2 2 4" xfId="2820" xr:uid="{6B6358B8-5F8B-4BA1-9C7E-9D669376F40C}"/>
    <cellStyle name="Įprastas 5 2 5 2 2 2_8 priedas" xfId="1320" xr:uid="{00000000-0005-0000-0000-000039020000}"/>
    <cellStyle name="Įprastas 5 2 5 2 2 3" xfId="219" xr:uid="{00000000-0005-0000-0000-00003A020000}"/>
    <cellStyle name="Įprastas 5 2 5 2 2 3 2" xfId="848" xr:uid="{00000000-0005-0000-0000-00003B020000}"/>
    <cellStyle name="Įprastas 5 2 5 2 2 3 2 2" xfId="1889" xr:uid="{359D0698-4278-4EB7-A32D-81B3BE40BE1B}"/>
    <cellStyle name="Įprastas 5 2 5 2 2 3 2 3" xfId="3432" xr:uid="{CBC09182-A46E-4939-B08E-0DCD61C8BA7D}"/>
    <cellStyle name="Įprastas 5 2 5 2 2 3 2_Lapas1" xfId="1888" xr:uid="{A9DF5B15-49ED-4161-9C67-44C6AAC57C6E}"/>
    <cellStyle name="Įprastas 5 2 5 2 2 3 3" xfId="1890" xr:uid="{939DF264-FB7F-4079-A344-EF7AA6E7E2F0}"/>
    <cellStyle name="Įprastas 5 2 5 2 2 3 4" xfId="2821" xr:uid="{09664E10-9739-4177-9C22-05C4911C0B8B}"/>
    <cellStyle name="Įprastas 5 2 5 2 2 3_8 priedas" xfId="1183" xr:uid="{00000000-0005-0000-0000-00003C020000}"/>
    <cellStyle name="Įprastas 5 2 5 2 2 4" xfId="560" xr:uid="{00000000-0005-0000-0000-00003D020000}"/>
    <cellStyle name="Įprastas 5 2 5 2 2 4 2" xfId="1892" xr:uid="{7A5ED46B-3036-46AC-BD4C-4655FB16D32E}"/>
    <cellStyle name="Įprastas 5 2 5 2 2 4 3" xfId="3144" xr:uid="{3A4114C9-60A3-429A-A8B8-BFBFBF0959E8}"/>
    <cellStyle name="Įprastas 5 2 5 2 2 4_Lapas1" xfId="1891" xr:uid="{032A56D5-683C-4E11-B1E4-AF1A7D8A82F4}"/>
    <cellStyle name="Įprastas 5 2 5 2 2 5" xfId="1893" xr:uid="{783D8105-7A43-4FE3-95EA-8C5E744CD999}"/>
    <cellStyle name="Įprastas 5 2 5 2 2 6" xfId="2819" xr:uid="{603E6753-A2D3-4CD0-911C-B238C7C18DFA}"/>
    <cellStyle name="Įprastas 5 2 5 2 2_8 priedas" xfId="1095" xr:uid="{00000000-0005-0000-0000-00003E020000}"/>
    <cellStyle name="Įprastas 5 2 5 2 3" xfId="220" xr:uid="{00000000-0005-0000-0000-00003F020000}"/>
    <cellStyle name="Įprastas 5 2 5 2 3 2" xfId="221" xr:uid="{00000000-0005-0000-0000-000040020000}"/>
    <cellStyle name="Įprastas 5 2 5 2 3 2 2" xfId="752" xr:uid="{00000000-0005-0000-0000-000041020000}"/>
    <cellStyle name="Įprastas 5 2 5 2 3 2 2 2" xfId="1895" xr:uid="{52456296-722C-43F7-A08A-FAAD58ED28DA}"/>
    <cellStyle name="Įprastas 5 2 5 2 3 2 2 3" xfId="3336" xr:uid="{DCE0F283-8EC0-4715-A150-89E886920849}"/>
    <cellStyle name="Įprastas 5 2 5 2 3 2 2_Lapas1" xfId="1894" xr:uid="{BC587873-2C26-44BF-91FF-6C6C7EFA4343}"/>
    <cellStyle name="Įprastas 5 2 5 2 3 2 3" xfId="1896" xr:uid="{8F8BA9E7-0CFD-4348-9A2D-2558BD9F5EA0}"/>
    <cellStyle name="Įprastas 5 2 5 2 3 2 4" xfId="2823" xr:uid="{58234513-3846-46EF-94F6-32217706A015}"/>
    <cellStyle name="Įprastas 5 2 5 2 3 2_8 priedas" xfId="1271" xr:uid="{00000000-0005-0000-0000-000042020000}"/>
    <cellStyle name="Įprastas 5 2 5 2 3 3" xfId="222" xr:uid="{00000000-0005-0000-0000-000043020000}"/>
    <cellStyle name="Įprastas 5 2 5 2 3 3 2" xfId="896" xr:uid="{00000000-0005-0000-0000-000044020000}"/>
    <cellStyle name="Įprastas 5 2 5 2 3 3 2 2" xfId="1898" xr:uid="{F1147F3E-6743-46C8-BF54-94C8324730E6}"/>
    <cellStyle name="Įprastas 5 2 5 2 3 3 2 3" xfId="3480" xr:uid="{C93B21CB-BAF7-4A2C-A930-4B3CF4537C13}"/>
    <cellStyle name="Įprastas 5 2 5 2 3 3 2_Lapas1" xfId="1897" xr:uid="{D805E603-B651-4D4D-AC5C-9A172E2156EE}"/>
    <cellStyle name="Įprastas 5 2 5 2 3 3 3" xfId="1899" xr:uid="{23E7EA79-5A42-481F-9BB1-8BC3E8A1BB7A}"/>
    <cellStyle name="Įprastas 5 2 5 2 3 3 4" xfId="2824" xr:uid="{2825260D-CABD-406A-B988-FC6F194A6792}"/>
    <cellStyle name="Įprastas 5 2 5 2 3 3_8 priedas" xfId="1135" xr:uid="{00000000-0005-0000-0000-000045020000}"/>
    <cellStyle name="Įprastas 5 2 5 2 3 4" xfId="608" xr:uid="{00000000-0005-0000-0000-000046020000}"/>
    <cellStyle name="Įprastas 5 2 5 2 3 4 2" xfId="1901" xr:uid="{C7084C91-5524-48E3-B693-5F85B1C1B499}"/>
    <cellStyle name="Įprastas 5 2 5 2 3 4 3" xfId="3192" xr:uid="{C6A52629-1BC3-4826-B1EE-BCBD25CB6C0F}"/>
    <cellStyle name="Įprastas 5 2 5 2 3 4_Lapas1" xfId="1900" xr:uid="{5886C365-0635-429F-8BB1-BC5DD3E9A95D}"/>
    <cellStyle name="Įprastas 5 2 5 2 3 5" xfId="1902" xr:uid="{529FCC98-4B8E-490A-B37C-D17B54541740}"/>
    <cellStyle name="Įprastas 5 2 5 2 3 6" xfId="2822" xr:uid="{664868B6-5CB8-44AB-8481-D74912F9A8E1}"/>
    <cellStyle name="Įprastas 5 2 5 2 3_8 priedas" xfId="1047" xr:uid="{00000000-0005-0000-0000-000047020000}"/>
    <cellStyle name="Įprastas 5 2 5 2 4" xfId="223" xr:uid="{00000000-0005-0000-0000-000048020000}"/>
    <cellStyle name="Įprastas 5 2 5 2 4 2" xfId="656" xr:uid="{00000000-0005-0000-0000-000049020000}"/>
    <cellStyle name="Įprastas 5 2 5 2 4 2 2" xfId="1904" xr:uid="{ADF6D231-FBB8-4C50-9B7D-69AB01992754}"/>
    <cellStyle name="Įprastas 5 2 5 2 4 2 3" xfId="3240" xr:uid="{CA47470B-E97A-49C2-A985-40D4263323C4}"/>
    <cellStyle name="Įprastas 5 2 5 2 4 2_Lapas1" xfId="1903" xr:uid="{1FB2207F-13FA-4640-B926-7E36F72F0BA9}"/>
    <cellStyle name="Įprastas 5 2 5 2 4 3" xfId="1905" xr:uid="{EA07D43C-2719-4611-9E7D-C6509BB8115E}"/>
    <cellStyle name="Įprastas 5 2 5 2 4 4" xfId="2825" xr:uid="{80708A53-2A3D-4A9F-B2E3-82DE87164ED3}"/>
    <cellStyle name="Įprastas 5 2 5 2 4_8 priedas" xfId="999" xr:uid="{00000000-0005-0000-0000-00004A020000}"/>
    <cellStyle name="Įprastas 5 2 5 2 5" xfId="224" xr:uid="{00000000-0005-0000-0000-00004B020000}"/>
    <cellStyle name="Įprastas 5 2 5 2 5 2" xfId="800" xr:uid="{00000000-0005-0000-0000-00004C020000}"/>
    <cellStyle name="Įprastas 5 2 5 2 5 2 2" xfId="1907" xr:uid="{26F6F0D5-CD9D-4EAA-A48C-2BE357E21852}"/>
    <cellStyle name="Įprastas 5 2 5 2 5 2 3" xfId="3384" xr:uid="{FB79C7C5-C351-4979-9413-357B175697B1}"/>
    <cellStyle name="Įprastas 5 2 5 2 5 2_Lapas1" xfId="1906" xr:uid="{3E7FF5C0-CD31-4167-9AF8-661C1B15FD7E}"/>
    <cellStyle name="Įprastas 5 2 5 2 5 3" xfId="1908" xr:uid="{6DF662F2-CB24-4F1D-ABF0-6DCEEAF2F5FE}"/>
    <cellStyle name="Įprastas 5 2 5 2 5 4" xfId="2826" xr:uid="{D30CBE09-DE7E-4C52-87F8-9377A76B54E9}"/>
    <cellStyle name="Įprastas 5 2 5 2 5_8 priedas" xfId="958" xr:uid="{00000000-0005-0000-0000-00004D020000}"/>
    <cellStyle name="Įprastas 5 2 5 2 6" xfId="512" xr:uid="{00000000-0005-0000-0000-00004E020000}"/>
    <cellStyle name="Įprastas 5 2 5 2 6 2" xfId="1910" xr:uid="{878D8DCA-B04D-45E9-B11A-DCC0196CE253}"/>
    <cellStyle name="Įprastas 5 2 5 2 6 3" xfId="3096" xr:uid="{24ED9688-2465-41D9-A9CD-D3F447ECBCC5}"/>
    <cellStyle name="Įprastas 5 2 5 2 6_Lapas1" xfId="1909" xr:uid="{426B8867-3696-4051-9999-183113290C18}"/>
    <cellStyle name="Įprastas 5 2 5 2 7" xfId="1911" xr:uid="{16B7A474-151F-4CAD-AFB6-761D57A59F7E}"/>
    <cellStyle name="Įprastas 5 2 5 2 8" xfId="2818" xr:uid="{05DFE18D-783E-4DE8-8D79-A9C395A4AAC6}"/>
    <cellStyle name="Įprastas 5 2 5 2_8 priedas" xfId="1229" xr:uid="{00000000-0005-0000-0000-00004F020000}"/>
    <cellStyle name="Įprastas 5 2 5 3" xfId="225" xr:uid="{00000000-0005-0000-0000-000050020000}"/>
    <cellStyle name="Įprastas 5 2 5 3 2" xfId="226" xr:uid="{00000000-0005-0000-0000-000051020000}"/>
    <cellStyle name="Įprastas 5 2 5 3 2 2" xfId="680" xr:uid="{00000000-0005-0000-0000-000052020000}"/>
    <cellStyle name="Įprastas 5 2 5 3 2 2 2" xfId="1913" xr:uid="{DEDAD432-67FE-4C77-99AF-9247329EB850}"/>
    <cellStyle name="Įprastas 5 2 5 3 2 2 3" xfId="3264" xr:uid="{87A61092-D6AB-4CB7-8D44-1B367411D6F3}"/>
    <cellStyle name="Įprastas 5 2 5 3 2 2_Lapas1" xfId="1912" xr:uid="{B943346C-E194-499F-A56C-AB3F49059700}"/>
    <cellStyle name="Įprastas 5 2 5 3 2 3" xfId="1914" xr:uid="{9AB44546-8AE4-4AA3-BDB3-CCF328F3DE89}"/>
    <cellStyle name="Įprastas 5 2 5 3 2 4" xfId="2828" xr:uid="{F25B1F34-F83B-408C-8A56-AE917F1AAF3A}"/>
    <cellStyle name="Įprastas 5 2 5 3 2_8 priedas" xfId="939" xr:uid="{00000000-0005-0000-0000-000053020000}"/>
    <cellStyle name="Įprastas 5 2 5 3 3" xfId="227" xr:uid="{00000000-0005-0000-0000-000054020000}"/>
    <cellStyle name="Įprastas 5 2 5 3 3 2" xfId="824" xr:uid="{00000000-0005-0000-0000-000055020000}"/>
    <cellStyle name="Įprastas 5 2 5 3 3 2 2" xfId="1916" xr:uid="{70ABCDB6-B44C-487E-8DDF-187744233295}"/>
    <cellStyle name="Įprastas 5 2 5 3 3 2 3" xfId="3408" xr:uid="{2FEF5175-F024-442C-A810-BEBCEAC91837}"/>
    <cellStyle name="Įprastas 5 2 5 3 3 2_Lapas1" xfId="1915" xr:uid="{2CB1537A-25B7-4E16-A751-DE9FF58879EF}"/>
    <cellStyle name="Įprastas 5 2 5 3 3 3" xfId="1917" xr:uid="{42951C0A-8A2B-4686-AD04-C60C000AB698}"/>
    <cellStyle name="Įprastas 5 2 5 3 3 4" xfId="2829" xr:uid="{ADE20929-31F3-444A-A883-9248EE3A2A61}"/>
    <cellStyle name="Įprastas 5 2 5 3 3_8 priedas" xfId="1197" xr:uid="{00000000-0005-0000-0000-000056020000}"/>
    <cellStyle name="Įprastas 5 2 5 3 4" xfId="536" xr:uid="{00000000-0005-0000-0000-000057020000}"/>
    <cellStyle name="Įprastas 5 2 5 3 4 2" xfId="1919" xr:uid="{714EED90-A56C-4DA9-9D68-B104BABFB817}"/>
    <cellStyle name="Įprastas 5 2 5 3 4 3" xfId="3120" xr:uid="{9D2B89CB-C568-4523-8ECD-DE2321B85355}"/>
    <cellStyle name="Įprastas 5 2 5 3 4_Lapas1" xfId="1918" xr:uid="{DF95BA69-1405-4BAD-A9E3-A6C2266B901D}"/>
    <cellStyle name="Įprastas 5 2 5 3 5" xfId="1920" xr:uid="{377CAA71-B2FF-49E1-8619-239570323E52}"/>
    <cellStyle name="Įprastas 5 2 5 3 6" xfId="2827" xr:uid="{3DF5B2C4-A375-423A-BF99-0A6D51E1C42D}"/>
    <cellStyle name="Įprastas 5 2 5 3_8 priedas" xfId="929" xr:uid="{00000000-0005-0000-0000-000058020000}"/>
    <cellStyle name="Įprastas 5 2 5 4" xfId="228" xr:uid="{00000000-0005-0000-0000-000059020000}"/>
    <cellStyle name="Įprastas 5 2 5 4 2" xfId="229" xr:uid="{00000000-0005-0000-0000-00005A020000}"/>
    <cellStyle name="Įprastas 5 2 5 4 2 2" xfId="728" xr:uid="{00000000-0005-0000-0000-00005B020000}"/>
    <cellStyle name="Įprastas 5 2 5 4 2 2 2" xfId="1922" xr:uid="{D1484D8B-29E8-4DC4-8512-C6CAA653A5D0}"/>
    <cellStyle name="Įprastas 5 2 5 4 2 2 3" xfId="3312" xr:uid="{29E369DC-CAFB-4840-957F-CF4DE8321C02}"/>
    <cellStyle name="Įprastas 5 2 5 4 2 2_Lapas1" xfId="1921" xr:uid="{1452C71F-AD44-46FC-90CA-2696E1016669}"/>
    <cellStyle name="Įprastas 5 2 5 4 2 3" xfId="1923" xr:uid="{87CB81A0-F841-4A59-A53B-DBEFF98C327B}"/>
    <cellStyle name="Įprastas 5 2 5 4 2 4" xfId="2831" xr:uid="{624AA22A-919A-4665-B576-45D678E75779}"/>
    <cellStyle name="Įprastas 5 2 5 4 2_8 priedas" xfId="1288" xr:uid="{00000000-0005-0000-0000-00005C020000}"/>
    <cellStyle name="Įprastas 5 2 5 4 3" xfId="230" xr:uid="{00000000-0005-0000-0000-00005D020000}"/>
    <cellStyle name="Įprastas 5 2 5 4 3 2" xfId="872" xr:uid="{00000000-0005-0000-0000-00005E020000}"/>
    <cellStyle name="Įprastas 5 2 5 4 3 2 2" xfId="1925" xr:uid="{51FC084C-2520-48F0-BB06-0DF048ECE519}"/>
    <cellStyle name="Įprastas 5 2 5 4 3 2 3" xfId="3456" xr:uid="{0E2E374C-EA1F-4AAB-BC7F-8368BD8168FC}"/>
    <cellStyle name="Įprastas 5 2 5 4 3 2_Lapas1" xfId="1924" xr:uid="{4DE88EB6-D59A-41A3-9AC5-826026CB15DF}"/>
    <cellStyle name="Įprastas 5 2 5 4 3 3" xfId="1926" xr:uid="{8B6CCDB0-7215-40EB-AA0F-5A29439B31E3}"/>
    <cellStyle name="Įprastas 5 2 5 4 3 4" xfId="2832" xr:uid="{0D8B267F-C491-4F77-9A5E-469F6BF1BD49}"/>
    <cellStyle name="Įprastas 5 2 5 4 3_8 priedas" xfId="1151" xr:uid="{00000000-0005-0000-0000-00005F020000}"/>
    <cellStyle name="Įprastas 5 2 5 4 4" xfId="584" xr:uid="{00000000-0005-0000-0000-000060020000}"/>
    <cellStyle name="Įprastas 5 2 5 4 4 2" xfId="1928" xr:uid="{592DFDB0-AD0A-421E-92E5-337934EA447C}"/>
    <cellStyle name="Įprastas 5 2 5 4 4 3" xfId="3168" xr:uid="{827E9FE7-B9F5-450E-BA9E-E4ECAB6E38B2}"/>
    <cellStyle name="Įprastas 5 2 5 4 4_Lapas1" xfId="1927" xr:uid="{FE734953-B718-4E09-AF7F-69BDB7995301}"/>
    <cellStyle name="Įprastas 5 2 5 4 5" xfId="1929" xr:uid="{4575090E-C6EC-4E70-8A85-AE44352970E2}"/>
    <cellStyle name="Įprastas 5 2 5 4 6" xfId="2830" xr:uid="{FBC6844C-CB63-4624-9B9F-8BD6007F0703}"/>
    <cellStyle name="Įprastas 5 2 5 4_8 priedas" xfId="1063" xr:uid="{00000000-0005-0000-0000-000061020000}"/>
    <cellStyle name="Įprastas 5 2 5 5" xfId="231" xr:uid="{00000000-0005-0000-0000-000062020000}"/>
    <cellStyle name="Įprastas 5 2 5 5 2" xfId="632" xr:uid="{00000000-0005-0000-0000-000063020000}"/>
    <cellStyle name="Įprastas 5 2 5 5 2 2" xfId="1931" xr:uid="{FCD1B382-CA96-4B12-B717-93B0B38CCE5F}"/>
    <cellStyle name="Įprastas 5 2 5 5 2 3" xfId="3216" xr:uid="{0BCCA5F8-3572-4E17-B14C-D77EE4262B7D}"/>
    <cellStyle name="Įprastas 5 2 5 5 2_Lapas1" xfId="1930" xr:uid="{7F7BD605-42F0-4FEF-B70F-8487D06C7A4E}"/>
    <cellStyle name="Įprastas 5 2 5 5 3" xfId="1932" xr:uid="{8185741C-B0CB-4A45-9424-D8344BABBD22}"/>
    <cellStyle name="Įprastas 5 2 5 5 4" xfId="2833" xr:uid="{12BFA4D5-8576-475C-A676-918FB69173F3}"/>
    <cellStyle name="Įprastas 5 2 5 5_8 priedas" xfId="1016" xr:uid="{00000000-0005-0000-0000-000064020000}"/>
    <cellStyle name="Įprastas 5 2 5 6" xfId="232" xr:uid="{00000000-0005-0000-0000-000065020000}"/>
    <cellStyle name="Įprastas 5 2 5 6 2" xfId="776" xr:uid="{00000000-0005-0000-0000-000066020000}"/>
    <cellStyle name="Įprastas 5 2 5 6 2 2" xfId="1934" xr:uid="{7A5A8599-F324-4248-B276-1F4AA7954320}"/>
    <cellStyle name="Įprastas 5 2 5 6 2 3" xfId="3360" xr:uid="{368FEB8F-252A-4F30-81ED-4E2E0F8921BA}"/>
    <cellStyle name="Įprastas 5 2 5 6 2_Lapas1" xfId="1933" xr:uid="{3CAB6D54-C575-4AA6-A75A-02E33C581358}"/>
    <cellStyle name="Įprastas 5 2 5 6 3" xfId="1935" xr:uid="{8B2DB985-831A-4E7B-87D5-5756E2CC8F8F}"/>
    <cellStyle name="Įprastas 5 2 5 6 4" xfId="2834" xr:uid="{EDA21E92-3B0E-47CB-9D71-46CB74366ED8}"/>
    <cellStyle name="Įprastas 5 2 5 6_8 priedas" xfId="1241" xr:uid="{00000000-0005-0000-0000-000067020000}"/>
    <cellStyle name="Įprastas 5 2 5 7" xfId="488" xr:uid="{00000000-0005-0000-0000-000068020000}"/>
    <cellStyle name="Įprastas 5 2 5 7 2" xfId="1937" xr:uid="{6CEDCA24-BC53-45EC-94CA-5EFA8F4C100D}"/>
    <cellStyle name="Įprastas 5 2 5 7 3" xfId="3072" xr:uid="{EEEFF479-9097-4616-A176-D2C497A4A23C}"/>
    <cellStyle name="Įprastas 5 2 5 7_Lapas1" xfId="1936" xr:uid="{14B923AE-F1FE-4753-96C5-0E7DB979BB02}"/>
    <cellStyle name="Įprastas 5 2 5 8" xfId="1938" xr:uid="{A4E6CF34-E78E-46E6-8B97-64EC1C3A82C4}"/>
    <cellStyle name="Įprastas 5 2 5 9" xfId="2817" xr:uid="{C85B36ED-5EAB-4FA9-80ED-B784E3CA992A}"/>
    <cellStyle name="Įprastas 5 2 5_8 priedas" xfId="982" xr:uid="{00000000-0005-0000-0000-000069020000}"/>
    <cellStyle name="Įprastas 5 2 6" xfId="233" xr:uid="{00000000-0005-0000-0000-00006A020000}"/>
    <cellStyle name="Įprastas 5 2 6 2" xfId="234" xr:uid="{00000000-0005-0000-0000-00006B020000}"/>
    <cellStyle name="Įprastas 5 2 6 2 2" xfId="235" xr:uid="{00000000-0005-0000-0000-00006C020000}"/>
    <cellStyle name="Įprastas 5 2 6 2 2 2" xfId="692" xr:uid="{00000000-0005-0000-0000-00006D020000}"/>
    <cellStyle name="Įprastas 5 2 6 2 2 2 2" xfId="1940" xr:uid="{8B04DB61-1531-4B26-8A83-4DBC193ED73D}"/>
    <cellStyle name="Įprastas 5 2 6 2 2 2 3" xfId="3276" xr:uid="{6E689A4A-8692-4004-B268-595592D54C9D}"/>
    <cellStyle name="Įprastas 5 2 6 2 2 2_Lapas1" xfId="1939" xr:uid="{03D3F444-DDAF-44F4-8BEF-01D3FE92BD73}"/>
    <cellStyle name="Įprastas 5 2 6 2 2 3" xfId="1941" xr:uid="{6E970EE4-B6A3-4728-B3CD-5E3F3FAF0562}"/>
    <cellStyle name="Įprastas 5 2 6 2 2 4" xfId="2837" xr:uid="{8C91F3E0-49E8-49F5-9859-7F7EF30F3F18}"/>
    <cellStyle name="Įprastas 5 2 6 2 2_8 priedas" xfId="1221" xr:uid="{00000000-0005-0000-0000-00006E020000}"/>
    <cellStyle name="Įprastas 5 2 6 2 3" xfId="236" xr:uid="{00000000-0005-0000-0000-00006F020000}"/>
    <cellStyle name="Įprastas 5 2 6 2 3 2" xfId="836" xr:uid="{00000000-0005-0000-0000-000070020000}"/>
    <cellStyle name="Įprastas 5 2 6 2 3 2 2" xfId="1943" xr:uid="{0F61A75C-39A3-47D0-9DE4-E428585B5F3C}"/>
    <cellStyle name="Įprastas 5 2 6 2 3 2 3" xfId="3420" xr:uid="{F00E2E8B-1943-4F6D-9FB1-78E8B3CC487A}"/>
    <cellStyle name="Įprastas 5 2 6 2 3 2_Lapas1" xfId="1942" xr:uid="{3B006A81-31EC-47F5-B2BB-5E4D8F80C1EC}"/>
    <cellStyle name="Įprastas 5 2 6 2 3 3" xfId="1944" xr:uid="{04CF6D9A-2D78-45F1-B446-3C5027AEDF3C}"/>
    <cellStyle name="Įprastas 5 2 6 2 3 4" xfId="2838" xr:uid="{CC495D59-9D1F-421F-9A06-6301D9EE7AF5}"/>
    <cellStyle name="Įprastas 5 2 6 2 3_8 priedas" xfId="1087" xr:uid="{00000000-0005-0000-0000-000071020000}"/>
    <cellStyle name="Įprastas 5 2 6 2 4" xfId="548" xr:uid="{00000000-0005-0000-0000-000072020000}"/>
    <cellStyle name="Įprastas 5 2 6 2 4 2" xfId="1946" xr:uid="{E50B0F9F-1CFE-4A3B-9B41-77380B16C00D}"/>
    <cellStyle name="Įprastas 5 2 6 2 4 3" xfId="3132" xr:uid="{C0140376-AE82-40A0-9918-1351243CBF49}"/>
    <cellStyle name="Įprastas 5 2 6 2 4_Lapas1" xfId="1945" xr:uid="{6A2B58CF-5162-41C5-9CDB-EA75A0F6D5CB}"/>
    <cellStyle name="Įprastas 5 2 6 2 5" xfId="1947" xr:uid="{75C3AF97-28A5-4D48-8723-656A31A529CB}"/>
    <cellStyle name="Įprastas 5 2 6 2 6" xfId="2836" xr:uid="{16634EAC-79A5-4DE3-BD74-F4619ADBA849}"/>
    <cellStyle name="Įprastas 5 2 6 2_8 priedas" xfId="975" xr:uid="{00000000-0005-0000-0000-000073020000}"/>
    <cellStyle name="Įprastas 5 2 6 3" xfId="237" xr:uid="{00000000-0005-0000-0000-000074020000}"/>
    <cellStyle name="Įprastas 5 2 6 3 2" xfId="238" xr:uid="{00000000-0005-0000-0000-000075020000}"/>
    <cellStyle name="Įprastas 5 2 6 3 2 2" xfId="740" xr:uid="{00000000-0005-0000-0000-000076020000}"/>
    <cellStyle name="Įprastas 5 2 6 3 2 2 2" xfId="1949" xr:uid="{13978AE6-2CFC-429B-845D-965AC72FF460}"/>
    <cellStyle name="Įprastas 5 2 6 3 2 2 3" xfId="3324" xr:uid="{2C36B60E-B2C5-48FD-A564-13DB9E81C612}"/>
    <cellStyle name="Įprastas 5 2 6 3 2 2_Lapas1" xfId="1948" xr:uid="{70320B21-3EE9-46AE-BFD2-8C4178A56A95}"/>
    <cellStyle name="Įprastas 5 2 6 3 2 3" xfId="1950" xr:uid="{79B8445C-A337-484A-927A-2D87E4B481EB}"/>
    <cellStyle name="Įprastas 5 2 6 3 2 4" xfId="2840" xr:uid="{334CD6D4-12C7-46BC-8FB2-9EAD242070B0}"/>
    <cellStyle name="Įprastas 5 2 6 3 2_8 priedas" xfId="1175" xr:uid="{00000000-0005-0000-0000-000077020000}"/>
    <cellStyle name="Įprastas 5 2 6 3 3" xfId="239" xr:uid="{00000000-0005-0000-0000-000078020000}"/>
    <cellStyle name="Įprastas 5 2 6 3 3 2" xfId="884" xr:uid="{00000000-0005-0000-0000-000079020000}"/>
    <cellStyle name="Įprastas 5 2 6 3 3 2 2" xfId="1952" xr:uid="{F879D5B5-6274-40AE-A871-4BDD61ED3577}"/>
    <cellStyle name="Įprastas 5 2 6 3 3 2 3" xfId="3468" xr:uid="{62642FD4-35A5-4C1B-BF19-53C1EE28F62B}"/>
    <cellStyle name="Įprastas 5 2 6 3 3 2_Lapas1" xfId="1951" xr:uid="{2C8E7BBB-097E-444D-A35D-F2B07544853A}"/>
    <cellStyle name="Įprastas 5 2 6 3 3 3" xfId="1953" xr:uid="{9BA64FD5-7864-4F9D-B52B-AD5C322B0B47}"/>
    <cellStyle name="Įprastas 5 2 6 3 3 4" xfId="2841" xr:uid="{4D018DBF-A985-4EEF-9911-549E03E1ED81}"/>
    <cellStyle name="Įprastas 5 2 6 3 3_8 priedas" xfId="1039" xr:uid="{00000000-0005-0000-0000-00007A020000}"/>
    <cellStyle name="Įprastas 5 2 6 3 4" xfId="596" xr:uid="{00000000-0005-0000-0000-00007B020000}"/>
    <cellStyle name="Įprastas 5 2 6 3 4 2" xfId="1955" xr:uid="{8DF8E192-8D9D-4E37-945E-FC70ED639E59}"/>
    <cellStyle name="Įprastas 5 2 6 3 4 3" xfId="3180" xr:uid="{CAECE482-BDF1-44AB-9C75-0163C920178A}"/>
    <cellStyle name="Įprastas 5 2 6 3 4_Lapas1" xfId="1954" xr:uid="{D93E9F4D-5BF9-4D57-B8D1-86BDF4E54480}"/>
    <cellStyle name="Įprastas 5 2 6 3 5" xfId="1956" xr:uid="{8F6AF83B-A33C-4F72-9356-17A68AA88140}"/>
    <cellStyle name="Įprastas 5 2 6 3 6" xfId="2839" xr:uid="{08ECBA88-95C9-4B9B-8256-22A651000D47}"/>
    <cellStyle name="Įprastas 5 2 6 3_8 priedas" xfId="1312" xr:uid="{00000000-0005-0000-0000-00007C020000}"/>
    <cellStyle name="Įprastas 5 2 6 4" xfId="240" xr:uid="{00000000-0005-0000-0000-00007D020000}"/>
    <cellStyle name="Įprastas 5 2 6 4 2" xfId="644" xr:uid="{00000000-0005-0000-0000-00007E020000}"/>
    <cellStyle name="Įprastas 5 2 6 4 2 2" xfId="1958" xr:uid="{B8177FDE-0C1D-4D4D-ABA0-44027C0D4C68}"/>
    <cellStyle name="Įprastas 5 2 6 4 2 3" xfId="3228" xr:uid="{74307D6B-73EB-47DE-B428-CEE635C8D672}"/>
    <cellStyle name="Įprastas 5 2 6 4 2_Lapas1" xfId="1957" xr:uid="{D78149CB-834E-4E75-9EE0-85953C5CF870}"/>
    <cellStyle name="Įprastas 5 2 6 4 3" xfId="1959" xr:uid="{F05D1EBC-5483-467B-92BF-BC375B5BB088}"/>
    <cellStyle name="Įprastas 5 2 6 4 4" xfId="2842" xr:uid="{42A6523F-736E-4A9D-985A-7783390EC974}"/>
    <cellStyle name="Įprastas 5 2 6 4_8 priedas" xfId="1263" xr:uid="{00000000-0005-0000-0000-00007F020000}"/>
    <cellStyle name="Įprastas 5 2 6 5" xfId="241" xr:uid="{00000000-0005-0000-0000-000080020000}"/>
    <cellStyle name="Įprastas 5 2 6 5 2" xfId="788" xr:uid="{00000000-0005-0000-0000-000081020000}"/>
    <cellStyle name="Įprastas 5 2 6 5 2 2" xfId="1961" xr:uid="{B1121341-CF7F-4132-A736-254D78F9F34E}"/>
    <cellStyle name="Įprastas 5 2 6 5 2 3" xfId="3372" xr:uid="{956D862F-2407-4AEC-8AB6-A60782A6C6F5}"/>
    <cellStyle name="Įprastas 5 2 6 5 2_Lapas1" xfId="1960" xr:uid="{E86869E1-0EE5-4F1D-AB23-294FD98E3507}"/>
    <cellStyle name="Įprastas 5 2 6 5 3" xfId="1962" xr:uid="{A12B0F41-D882-4056-9F9B-64BEE319AFE0}"/>
    <cellStyle name="Įprastas 5 2 6 5 4" xfId="2843" xr:uid="{2ED97A78-EE6E-4773-B167-3B32FA1F90C2}"/>
    <cellStyle name="Įprastas 5 2 6 5_8 priedas" xfId="1127" xr:uid="{00000000-0005-0000-0000-000082020000}"/>
    <cellStyle name="Įprastas 5 2 6 6" xfId="500" xr:uid="{00000000-0005-0000-0000-000083020000}"/>
    <cellStyle name="Įprastas 5 2 6 6 2" xfId="1964" xr:uid="{BECD8797-E23E-440B-8C79-F0AA7E5C20A0}"/>
    <cellStyle name="Įprastas 5 2 6 6 3" xfId="3084" xr:uid="{5C6E6FB4-19F7-4C9D-9A06-1D50F7113C85}"/>
    <cellStyle name="Įprastas 5 2 6 6_Lapas1" xfId="1963" xr:uid="{D92DDBA4-50A5-4ED1-A32D-949F2E6BBA5A}"/>
    <cellStyle name="Įprastas 5 2 6 7" xfId="1965" xr:uid="{E3CD440E-4322-4D34-B7A8-1BD555A26241}"/>
    <cellStyle name="Įprastas 5 2 6 8" xfId="2835" xr:uid="{A4F0EE6E-C3E3-4470-9B68-FC78FE1F26B0}"/>
    <cellStyle name="Įprastas 5 2 6_8 priedas" xfId="1111" xr:uid="{00000000-0005-0000-0000-000084020000}"/>
    <cellStyle name="Įprastas 5 2 7" xfId="242" xr:uid="{00000000-0005-0000-0000-000085020000}"/>
    <cellStyle name="Įprastas 5 2 7 2" xfId="243" xr:uid="{00000000-0005-0000-0000-000086020000}"/>
    <cellStyle name="Įprastas 5 2 7 2 2" xfId="668" xr:uid="{00000000-0005-0000-0000-000087020000}"/>
    <cellStyle name="Įprastas 5 2 7 2 2 2" xfId="1967" xr:uid="{CA14C24F-209F-4AB5-AEFA-F3DC061EF7FD}"/>
    <cellStyle name="Įprastas 5 2 7 2 2 3" xfId="3252" xr:uid="{85617820-D35A-4561-8D5E-44DCD9C5B4B4}"/>
    <cellStyle name="Įprastas 5 2 7 2 2_Lapas1" xfId="1966" xr:uid="{1139255A-3ABD-4CC5-ACE7-9670F20B6E52}"/>
    <cellStyle name="Įprastas 5 2 7 2 3" xfId="1968" xr:uid="{9388BAE6-7C62-4E0D-AAC9-BC9914F7A96D}"/>
    <cellStyle name="Įprastas 5 2 7 2 4" xfId="2845" xr:uid="{A066B737-E5FB-4229-9A84-5C51ABFB9BC6}"/>
    <cellStyle name="Įprastas 5 2 7 2_8 priedas" xfId="950" xr:uid="{00000000-0005-0000-0000-000088020000}"/>
    <cellStyle name="Įprastas 5 2 7 3" xfId="244" xr:uid="{00000000-0005-0000-0000-000089020000}"/>
    <cellStyle name="Įprastas 5 2 7 3 2" xfId="812" xr:uid="{00000000-0005-0000-0000-00008A020000}"/>
    <cellStyle name="Įprastas 5 2 7 3 2 2" xfId="1970" xr:uid="{80E71E55-7865-4F1F-AF0E-7BBBB6AEAD8D}"/>
    <cellStyle name="Įprastas 5 2 7 3 2 3" xfId="3396" xr:uid="{75B0C30D-9822-4172-8C47-BE1FA6544554}"/>
    <cellStyle name="Įprastas 5 2 7 3 2_Lapas1" xfId="1969" xr:uid="{A18E6BC9-7113-4CC9-BEF6-2EDC3F579DC2}"/>
    <cellStyle name="Įprastas 5 2 7 3 3" xfId="1971" xr:uid="{7ECCC232-B9F3-45DA-9813-052BE8489E33}"/>
    <cellStyle name="Įprastas 5 2 7 3 4" xfId="2846" xr:uid="{92DB452A-4543-4799-8C25-BDF5CD26CD3B}"/>
    <cellStyle name="Įprastas 5 2 7 3_8 priedas" xfId="1209" xr:uid="{00000000-0005-0000-0000-00008B020000}"/>
    <cellStyle name="Įprastas 5 2 7 4" xfId="524" xr:uid="{00000000-0005-0000-0000-00008C020000}"/>
    <cellStyle name="Įprastas 5 2 7 4 2" xfId="1973" xr:uid="{C39D47FC-9A4E-414F-9FE3-C14CBF3D0AF3}"/>
    <cellStyle name="Įprastas 5 2 7 4 3" xfId="3108" xr:uid="{510AB628-624A-414A-81DD-68CC24E4900E}"/>
    <cellStyle name="Įprastas 5 2 7 4_Lapas1" xfId="1972" xr:uid="{9C28744D-650A-422F-ADA0-38E24DE52BF1}"/>
    <cellStyle name="Įprastas 5 2 7 5" xfId="1974" xr:uid="{219CA7D0-3C3A-4058-9572-2E8D3C33C65E}"/>
    <cellStyle name="Įprastas 5 2 7 6" xfId="2844" xr:uid="{61ECCDF0-312E-45BF-9B7A-55587A65F7BE}"/>
    <cellStyle name="Įprastas 5 2 7_8 priedas" xfId="991" xr:uid="{00000000-0005-0000-0000-00008D020000}"/>
    <cellStyle name="Įprastas 5 2 8" xfId="245" xr:uid="{00000000-0005-0000-0000-00008E020000}"/>
    <cellStyle name="Įprastas 5 2 8 2" xfId="246" xr:uid="{00000000-0005-0000-0000-00008F020000}"/>
    <cellStyle name="Įprastas 5 2 8 2 2" xfId="716" xr:uid="{00000000-0005-0000-0000-000090020000}"/>
    <cellStyle name="Įprastas 5 2 8 2 2 2" xfId="1976" xr:uid="{5C473FB8-4529-47C5-921F-29225AF8F333}"/>
    <cellStyle name="Įprastas 5 2 8 2 2 3" xfId="3300" xr:uid="{147D36DC-E68D-47C4-A853-1A9930CE5BD7}"/>
    <cellStyle name="Įprastas 5 2 8 2 2_Lapas1" xfId="1975" xr:uid="{42AEA4AE-EFC6-45E6-8E14-9F12A362AE66}"/>
    <cellStyle name="Įprastas 5 2 8 2 3" xfId="1977" xr:uid="{324328EF-3AD6-46BE-A0AD-488892C87D20}"/>
    <cellStyle name="Įprastas 5 2 8 2 4" xfId="2848" xr:uid="{7D54DC11-96DD-4FE1-8959-F9693CDC0571}"/>
    <cellStyle name="Įprastas 5 2 8 2_8 priedas" xfId="1300" xr:uid="{00000000-0005-0000-0000-000091020000}"/>
    <cellStyle name="Įprastas 5 2 8 3" xfId="247" xr:uid="{00000000-0005-0000-0000-000092020000}"/>
    <cellStyle name="Įprastas 5 2 8 3 2" xfId="860" xr:uid="{00000000-0005-0000-0000-000093020000}"/>
    <cellStyle name="Įprastas 5 2 8 3 2 2" xfId="1979" xr:uid="{FBFA4E68-8FCF-45F4-9473-89ACEC441059}"/>
    <cellStyle name="Įprastas 5 2 8 3 2 3" xfId="3444" xr:uid="{D30A8EF1-6B25-41C0-8B18-A501E64B7C51}"/>
    <cellStyle name="Įprastas 5 2 8 3 2_Lapas1" xfId="1978" xr:uid="{BDB95E00-5170-4906-8068-EF17453D0D17}"/>
    <cellStyle name="Įprastas 5 2 8 3 3" xfId="1980" xr:uid="{9DC4995E-4840-40A9-B2F8-29C2C3FAAE57}"/>
    <cellStyle name="Įprastas 5 2 8 3 4" xfId="2849" xr:uid="{215FB3E8-381D-42BF-9F51-0E4368DE3B03}"/>
    <cellStyle name="Įprastas 5 2 8 3_8 priedas" xfId="1163" xr:uid="{00000000-0005-0000-0000-000094020000}"/>
    <cellStyle name="Įprastas 5 2 8 4" xfId="572" xr:uid="{00000000-0005-0000-0000-000095020000}"/>
    <cellStyle name="Įprastas 5 2 8 4 2" xfId="1982" xr:uid="{18865C2B-EFE8-467E-ABE5-C0B7ABC89B58}"/>
    <cellStyle name="Įprastas 5 2 8 4 3" xfId="3156" xr:uid="{78BE7110-6407-4D74-AA1C-C159FCA14DFC}"/>
    <cellStyle name="Įprastas 5 2 8 4_Lapas1" xfId="1981" xr:uid="{79205C51-9768-4E3F-B4E6-0746C76EC3CC}"/>
    <cellStyle name="Įprastas 5 2 8 5" xfId="1983" xr:uid="{A6C039FA-E846-4264-8722-2C92230BE1EB}"/>
    <cellStyle name="Įprastas 5 2 8 6" xfId="2847" xr:uid="{85C5B61A-98B2-4E59-8281-3747AF197F2A}"/>
    <cellStyle name="Įprastas 5 2 8_8 priedas" xfId="1075" xr:uid="{00000000-0005-0000-0000-000096020000}"/>
    <cellStyle name="Įprastas 5 2 9" xfId="248" xr:uid="{00000000-0005-0000-0000-000097020000}"/>
    <cellStyle name="Įprastas 5 2 9 2" xfId="620" xr:uid="{00000000-0005-0000-0000-000098020000}"/>
    <cellStyle name="Įprastas 5 2 9 2 2" xfId="1985" xr:uid="{42B646B2-F59C-46FC-A42C-5DB83F4FFAF9}"/>
    <cellStyle name="Įprastas 5 2 9 2 3" xfId="3204" xr:uid="{228BE8B8-28D3-4552-B8E7-F0C9E522D818}"/>
    <cellStyle name="Įprastas 5 2 9 2_Lapas1" xfId="1984" xr:uid="{FDFDE003-44A8-4A2E-802A-765D8E0B187F}"/>
    <cellStyle name="Įprastas 5 2 9 3" xfId="1986" xr:uid="{F4079D1F-9046-4A62-B155-A6DF8BE077D7}"/>
    <cellStyle name="Įprastas 5 2 9 4" xfId="2850" xr:uid="{84AAE95A-CC9D-4713-95E9-09CF5E57F837}"/>
    <cellStyle name="Įprastas 5 2 9_8 priedas" xfId="1028" xr:uid="{00000000-0005-0000-0000-000099020000}"/>
    <cellStyle name="Įprastas 5 2_8 priedas" xfId="21" xr:uid="{00000000-0005-0000-0000-00009A020000}"/>
    <cellStyle name="Įprastas 5 3" xfId="17" xr:uid="{00000000-0005-0000-0000-00009B020000}"/>
    <cellStyle name="Įprastas 5 3 10" xfId="1987" xr:uid="{96D791E9-78AF-42E4-A614-ADAD2568CC82}"/>
    <cellStyle name="Įprastas 5 3 11" xfId="2631" xr:uid="{43F2D5E4-0618-4EF6-8311-466B9FD98EF7}"/>
    <cellStyle name="Įprastas 5 3 2" xfId="24" xr:uid="{00000000-0005-0000-0000-00009C020000}"/>
    <cellStyle name="Įprastas 5 3 2 10" xfId="2635" xr:uid="{675FAE40-1744-4750-B1D5-417FF6080240}"/>
    <cellStyle name="Įprastas 5 3 2 2" xfId="250" xr:uid="{00000000-0005-0000-0000-00009D020000}"/>
    <cellStyle name="Įprastas 5 3 2 2 2" xfId="251" xr:uid="{00000000-0005-0000-0000-00009E020000}"/>
    <cellStyle name="Įprastas 5 3 2 2 2 2" xfId="252" xr:uid="{00000000-0005-0000-0000-00009F020000}"/>
    <cellStyle name="Įprastas 5 3 2 2 2 2 2" xfId="253" xr:uid="{00000000-0005-0000-0000-0000A0020000}"/>
    <cellStyle name="Įprastas 5 3 2 2 2 2 2 2" xfId="711" xr:uid="{00000000-0005-0000-0000-0000A1020000}"/>
    <cellStyle name="Įprastas 5 3 2 2 2 2 2 2 2" xfId="1989" xr:uid="{5D1F48D3-C821-4D3D-B960-C6265AFC408D}"/>
    <cellStyle name="Įprastas 5 3 2 2 2 2 2 2 3" xfId="3295" xr:uid="{D29FD6A2-008B-46D9-BD22-7FDB3C76F0D4}"/>
    <cellStyle name="Įprastas 5 3 2 2 2 2 2 2_Lapas1" xfId="1988" xr:uid="{71C137F4-EFB0-44D0-A812-BA0BDCC23E87}"/>
    <cellStyle name="Įprastas 5 3 2 2 2 2 2 3" xfId="1990" xr:uid="{B4EE3405-17F6-4CB6-9117-B88E9437D216}"/>
    <cellStyle name="Įprastas 5 3 2 2 2 2 2 4" xfId="2854" xr:uid="{C7811DB1-F902-4344-AFA6-8A8695C02E39}"/>
    <cellStyle name="Įprastas 5 3 2 2 2 2 2_8 priedas" xfId="1187" xr:uid="{00000000-0005-0000-0000-0000A2020000}"/>
    <cellStyle name="Įprastas 5 3 2 2 2 2 3" xfId="254" xr:uid="{00000000-0005-0000-0000-0000A3020000}"/>
    <cellStyle name="Įprastas 5 3 2 2 2 2 3 2" xfId="855" xr:uid="{00000000-0005-0000-0000-0000A4020000}"/>
    <cellStyle name="Įprastas 5 3 2 2 2 2 3 2 2" xfId="1992" xr:uid="{F21C0099-D323-4FB7-A97B-B45111DF802C}"/>
    <cellStyle name="Įprastas 5 3 2 2 2 2 3 2 3" xfId="3439" xr:uid="{2B01E8D4-CD02-4BDC-A336-1893F08C0010}"/>
    <cellStyle name="Įprastas 5 3 2 2 2 2 3 2_Lapas1" xfId="1991" xr:uid="{F343B6D2-FAB4-4A64-BDE1-F8FA39EB7FF4}"/>
    <cellStyle name="Įprastas 5 3 2 2 2 2 3 3" xfId="1993" xr:uid="{BCF5FD15-3AC6-46BE-8405-95221DB0B58C}"/>
    <cellStyle name="Įprastas 5 3 2 2 2 2 3 4" xfId="2855" xr:uid="{9CC01925-02A3-459A-9C3F-07EA453DA462}"/>
    <cellStyle name="Įprastas 5 3 2 2 2 2 3_8 priedas" xfId="1051" xr:uid="{00000000-0005-0000-0000-0000A5020000}"/>
    <cellStyle name="Įprastas 5 3 2 2 2 2 4" xfId="567" xr:uid="{00000000-0005-0000-0000-0000A6020000}"/>
    <cellStyle name="Įprastas 5 3 2 2 2 2 4 2" xfId="1995" xr:uid="{FB675720-F800-443A-8A8C-DAF34BF6FA73}"/>
    <cellStyle name="Įprastas 5 3 2 2 2 2 4 3" xfId="3151" xr:uid="{CBA5E585-3559-4EC3-B7E7-C73445040887}"/>
    <cellStyle name="Įprastas 5 3 2 2 2 2 4_Lapas1" xfId="1994" xr:uid="{474B401A-C091-4AB3-8E57-065CD9C1A944}"/>
    <cellStyle name="Įprastas 5 3 2 2 2 2 5" xfId="1996" xr:uid="{B38B633B-1F05-47FD-A03D-34F7FD976B8E}"/>
    <cellStyle name="Įprastas 5 3 2 2 2 2 6" xfId="2853" xr:uid="{A2D3B453-A0D3-4C47-965E-B66E0784E2A5}"/>
    <cellStyle name="Įprastas 5 3 2 2 2 2_8 priedas" xfId="1324" xr:uid="{00000000-0005-0000-0000-0000A7020000}"/>
    <cellStyle name="Įprastas 5 3 2 2 2 3" xfId="255" xr:uid="{00000000-0005-0000-0000-0000A8020000}"/>
    <cellStyle name="Įprastas 5 3 2 2 2 3 2" xfId="256" xr:uid="{00000000-0005-0000-0000-0000A9020000}"/>
    <cellStyle name="Įprastas 5 3 2 2 2 3 2 2" xfId="759" xr:uid="{00000000-0005-0000-0000-0000AA020000}"/>
    <cellStyle name="Įprastas 5 3 2 2 2 3 2 2 2" xfId="1998" xr:uid="{45105E2E-C3D8-4C61-B37C-069A01B6F86D}"/>
    <cellStyle name="Įprastas 5 3 2 2 2 3 2 2 3" xfId="3343" xr:uid="{F20844FB-00F8-4988-BC27-31287515091F}"/>
    <cellStyle name="Įprastas 5 3 2 2 2 3 2 2_Lapas1" xfId="1997" xr:uid="{50AD090F-9E68-43FC-B33D-1024829A17D2}"/>
    <cellStyle name="Įprastas 5 3 2 2 2 3 2 3" xfId="1999" xr:uid="{9187358C-29B2-4C28-8E08-13783FC762DE}"/>
    <cellStyle name="Įprastas 5 3 2 2 2 3 2 4" xfId="2857" xr:uid="{1EB68211-355C-4129-89F2-3D23BDB462D2}"/>
    <cellStyle name="Įprastas 5 3 2 2 2 3 2_8 priedas" xfId="1139" xr:uid="{00000000-0005-0000-0000-0000AB020000}"/>
    <cellStyle name="Įprastas 5 3 2 2 2 3 3" xfId="257" xr:uid="{00000000-0005-0000-0000-0000AC020000}"/>
    <cellStyle name="Įprastas 5 3 2 2 2 3 3 2" xfId="903" xr:uid="{00000000-0005-0000-0000-0000AD020000}"/>
    <cellStyle name="Įprastas 5 3 2 2 2 3 3 2 2" xfId="2001" xr:uid="{349677CC-34A9-46CF-A1F7-41C59BE730AB}"/>
    <cellStyle name="Įprastas 5 3 2 2 2 3 3 2 3" xfId="3487" xr:uid="{9B7D6226-867B-4AB4-9310-1EDB3DBA6350}"/>
    <cellStyle name="Įprastas 5 3 2 2 2 3 3 2_Lapas1" xfId="2000" xr:uid="{CCAEF435-58B0-4FE1-940B-684D4FA9EDE3}"/>
    <cellStyle name="Įprastas 5 3 2 2 2 3 3 3" xfId="2002" xr:uid="{A6E968AA-BC04-4633-B9B6-25DD0EE66BBE}"/>
    <cellStyle name="Įprastas 5 3 2 2 2 3 3 4" xfId="2858" xr:uid="{A60AAF20-1805-40DF-A75E-BF579BE4695D}"/>
    <cellStyle name="Įprastas 5 3 2 2 2 3 3_8 priedas" xfId="1003" xr:uid="{00000000-0005-0000-0000-0000AE020000}"/>
    <cellStyle name="Įprastas 5 3 2 2 2 3 4" xfId="615" xr:uid="{00000000-0005-0000-0000-0000AF020000}"/>
    <cellStyle name="Įprastas 5 3 2 2 2 3 4 2" xfId="2004" xr:uid="{15DF069D-C4C1-4CB6-BBFF-B244DDCDD4EB}"/>
    <cellStyle name="Įprastas 5 3 2 2 2 3 4 3" xfId="3199" xr:uid="{6A0D0D82-D176-4D95-AD01-2CB808B30DD5}"/>
    <cellStyle name="Įprastas 5 3 2 2 2 3 4_Lapas1" xfId="2003" xr:uid="{0929344F-BE08-48FC-AA69-9E070FDFC08B}"/>
    <cellStyle name="Įprastas 5 3 2 2 2 3 5" xfId="2005" xr:uid="{3BA5250C-BC98-42F5-9A20-A90AE78ABD61}"/>
    <cellStyle name="Įprastas 5 3 2 2 2 3 6" xfId="2856" xr:uid="{77102A6F-9850-41EC-9523-5F12D6B3E9CC}"/>
    <cellStyle name="Įprastas 5 3 2 2 2 3_8 priedas" xfId="1275" xr:uid="{00000000-0005-0000-0000-0000B0020000}"/>
    <cellStyle name="Įprastas 5 3 2 2 2 4" xfId="258" xr:uid="{00000000-0005-0000-0000-0000B1020000}"/>
    <cellStyle name="Įprastas 5 3 2 2 2 4 2" xfId="663" xr:uid="{00000000-0005-0000-0000-0000B2020000}"/>
    <cellStyle name="Įprastas 5 3 2 2 2 4 2 2" xfId="2007" xr:uid="{A2C2E050-5262-44ED-A79C-D517F07BB1EB}"/>
    <cellStyle name="Įprastas 5 3 2 2 2 4 2 3" xfId="3247" xr:uid="{9D169D5D-BB93-4C5D-A9AE-D5E159D8341C}"/>
    <cellStyle name="Įprastas 5 3 2 2 2 4 2_Lapas1" xfId="2006" xr:uid="{B5E1E881-AD78-4ADA-BD96-09AFECFF8E24}"/>
    <cellStyle name="Įprastas 5 3 2 2 2 4 3" xfId="2008" xr:uid="{AB54E16D-CD29-4653-985C-E733E52B9678}"/>
    <cellStyle name="Įprastas 5 3 2 2 2 4 4" xfId="2859" xr:uid="{4333AF78-F3BF-40C0-8085-48196827F628}"/>
    <cellStyle name="Įprastas 5 3 2 2 2 4_8 priedas" xfId="962" xr:uid="{00000000-0005-0000-0000-0000B3020000}"/>
    <cellStyle name="Įprastas 5 3 2 2 2 5" xfId="259" xr:uid="{00000000-0005-0000-0000-0000B4020000}"/>
    <cellStyle name="Įprastas 5 3 2 2 2 5 2" xfId="807" xr:uid="{00000000-0005-0000-0000-0000B5020000}"/>
    <cellStyle name="Įprastas 5 3 2 2 2 5 2 2" xfId="2010" xr:uid="{C2B911AE-A88B-4335-83E3-B60B8C95ECF7}"/>
    <cellStyle name="Įprastas 5 3 2 2 2 5 2 3" xfId="3391" xr:uid="{BCB47A6E-EE4A-41A1-B8DC-72A114A6DCE8}"/>
    <cellStyle name="Įprastas 5 3 2 2 2 5 2_Lapas1" xfId="2009" xr:uid="{E38AC6D8-FE59-4689-B6CD-B6DD67A1B504}"/>
    <cellStyle name="Įprastas 5 3 2 2 2 5 3" xfId="2011" xr:uid="{72A42A2D-CF46-42F0-B883-6D2D1B8504EF}"/>
    <cellStyle name="Įprastas 5 3 2 2 2 5 4" xfId="2860" xr:uid="{825106EB-92EA-4F0B-98C7-722BE8679C80}"/>
    <cellStyle name="Įprastas 5 3 2 2 2 5_8 priedas" xfId="933" xr:uid="{00000000-0005-0000-0000-0000B6020000}"/>
    <cellStyle name="Įprastas 5 3 2 2 2 6" xfId="519" xr:uid="{00000000-0005-0000-0000-0000B7020000}"/>
    <cellStyle name="Įprastas 5 3 2 2 2 6 2" xfId="2013" xr:uid="{16B87ACB-3501-4641-AF42-580C61FC98BA}"/>
    <cellStyle name="Įprastas 5 3 2 2 2 6 3" xfId="3103" xr:uid="{3AC6A618-018D-4343-8CF8-C2ADF59FC309}"/>
    <cellStyle name="Įprastas 5 3 2 2 2 6_Lapas1" xfId="2012" xr:uid="{7104ED9F-F8AB-4F09-AC3E-EC2A098B0E88}"/>
    <cellStyle name="Įprastas 5 3 2 2 2 7" xfId="2014" xr:uid="{C1393C38-FD4E-43F4-9718-FAC5A44F9F23}"/>
    <cellStyle name="Įprastas 5 3 2 2 2 8" xfId="2852" xr:uid="{B3F4F30D-07CA-4C5C-94F3-8AE380ED79C4}"/>
    <cellStyle name="Įprastas 5 3 2 2 2_8 priedas" xfId="1099" xr:uid="{00000000-0005-0000-0000-0000B8020000}"/>
    <cellStyle name="Įprastas 5 3 2 2 3" xfId="260" xr:uid="{00000000-0005-0000-0000-0000B9020000}"/>
    <cellStyle name="Įprastas 5 3 2 2 3 2" xfId="261" xr:uid="{00000000-0005-0000-0000-0000BA020000}"/>
    <cellStyle name="Įprastas 5 3 2 2 3 2 2" xfId="687" xr:uid="{00000000-0005-0000-0000-0000BB020000}"/>
    <cellStyle name="Įprastas 5 3 2 2 3 2 2 2" xfId="2016" xr:uid="{C0AC47FD-9BD6-433A-86B6-9D6B18BA0BEF}"/>
    <cellStyle name="Įprastas 5 3 2 2 3 2 2 3" xfId="3271" xr:uid="{86A60622-58A7-4109-BA61-FDAD89C6E075}"/>
    <cellStyle name="Įprastas 5 3 2 2 3 2 2_Lapas1" xfId="2015" xr:uid="{6DEB6F2B-97A2-404D-9327-3FD7CED4DC84}"/>
    <cellStyle name="Įprastas 5 3 2 2 3 2 3" xfId="2017" xr:uid="{73331AC6-69EA-48CA-9E14-2C8CD61082B6}"/>
    <cellStyle name="Įprastas 5 3 2 2 3 2 4" xfId="2862" xr:uid="{AE9F1FDC-DD48-49AE-B06C-2197819D4496}"/>
    <cellStyle name="Įprastas 5 3 2 2 3 2_8 priedas" xfId="909" xr:uid="{00000000-0005-0000-0000-0000BC020000}"/>
    <cellStyle name="Įprastas 5 3 2 2 3 3" xfId="262" xr:uid="{00000000-0005-0000-0000-0000BD020000}"/>
    <cellStyle name="Įprastas 5 3 2 2 3 3 2" xfId="831" xr:uid="{00000000-0005-0000-0000-0000BE020000}"/>
    <cellStyle name="Įprastas 5 3 2 2 3 3 2 2" xfId="2019" xr:uid="{1415EF9D-537C-43B1-A50B-404A629FB11F}"/>
    <cellStyle name="Įprastas 5 3 2 2 3 3 2 3" xfId="3415" xr:uid="{460D9D6A-AB32-475D-960C-39ECBDD4D0DB}"/>
    <cellStyle name="Įprastas 5 3 2 2 3 3 2_Lapas1" xfId="2018" xr:uid="{EACC513B-1E8A-4A3C-A841-60B70EBE0273}"/>
    <cellStyle name="Įprastas 5 3 2 2 3 3 3" xfId="2020" xr:uid="{F4A20D74-1597-4512-9298-5C30F7C4D25A}"/>
    <cellStyle name="Įprastas 5 3 2 2 3 3 4" xfId="2863" xr:uid="{0BE99CB5-ED37-4F04-A0A2-68F84E839276}"/>
    <cellStyle name="Įprastas 5 3 2 2 3 3_8 priedas" xfId="913" xr:uid="{00000000-0005-0000-0000-0000BF020000}"/>
    <cellStyle name="Įprastas 5 3 2 2 3 4" xfId="543" xr:uid="{00000000-0005-0000-0000-0000C0020000}"/>
    <cellStyle name="Įprastas 5 3 2 2 3 4 2" xfId="2022" xr:uid="{F64E6610-357B-4518-91F3-3CBE3C07424A}"/>
    <cellStyle name="Įprastas 5 3 2 2 3 4 3" xfId="3127" xr:uid="{CD7622AB-9908-4B9C-ABFF-C78E881D2AFE}"/>
    <cellStyle name="Įprastas 5 3 2 2 3 4_Lapas1" xfId="2021" xr:uid="{250EA9CE-2FCE-49C9-AA91-0F2DB79F8996}"/>
    <cellStyle name="Įprastas 5 3 2 2 3 5" xfId="2023" xr:uid="{73A285A7-CFFA-4781-8227-20EADB8123D4}"/>
    <cellStyle name="Įprastas 5 3 2 2 3 6" xfId="2861" xr:uid="{FD86588D-7C61-4DEE-81C2-BF0BD9D6BC74}"/>
    <cellStyle name="Įprastas 5 3 2 2 3_8 priedas" xfId="916" xr:uid="{00000000-0005-0000-0000-0000C1020000}"/>
    <cellStyle name="Įprastas 5 3 2 2 4" xfId="263" xr:uid="{00000000-0005-0000-0000-0000C2020000}"/>
    <cellStyle name="Įprastas 5 3 2 2 4 2" xfId="264" xr:uid="{00000000-0005-0000-0000-0000C3020000}"/>
    <cellStyle name="Įprastas 5 3 2 2 4 2 2" xfId="735" xr:uid="{00000000-0005-0000-0000-0000C4020000}"/>
    <cellStyle name="Įprastas 5 3 2 2 4 2 2 2" xfId="2025" xr:uid="{D6ECFB23-D351-437F-914E-90E05B3980F3}"/>
    <cellStyle name="Įprastas 5 3 2 2 4 2 2 3" xfId="3319" xr:uid="{CA29F414-6B16-48FE-8877-52F25EC290BB}"/>
    <cellStyle name="Įprastas 5 3 2 2 4 2 2_Lapas1" xfId="2024" xr:uid="{4039ED01-1563-4352-8576-DCBB8B10E441}"/>
    <cellStyle name="Įprastas 5 3 2 2 4 2 3" xfId="2026" xr:uid="{FD3AFE77-299A-4774-AB7B-A362C7646BD8}"/>
    <cellStyle name="Įprastas 5 3 2 2 4 2 4" xfId="2865" xr:uid="{5E6055A5-E098-4285-95A2-263B160DE743}"/>
    <cellStyle name="Įprastas 5 3 2 2 4 2_8 priedas" xfId="1279" xr:uid="{00000000-0005-0000-0000-0000C5020000}"/>
    <cellStyle name="Įprastas 5 3 2 2 4 3" xfId="265" xr:uid="{00000000-0005-0000-0000-0000C6020000}"/>
    <cellStyle name="Įprastas 5 3 2 2 4 3 2" xfId="879" xr:uid="{00000000-0005-0000-0000-0000C7020000}"/>
    <cellStyle name="Įprastas 5 3 2 2 4 3 2 2" xfId="2028" xr:uid="{98624655-3127-487F-AAE4-D014C04A4796}"/>
    <cellStyle name="Įprastas 5 3 2 2 4 3 2 3" xfId="3463" xr:uid="{6F63B1DB-EAB5-454E-B413-C4C35C651F5A}"/>
    <cellStyle name="Įprastas 5 3 2 2 4 3 2_Lapas1" xfId="2027" xr:uid="{68C9D380-4FD2-4564-AB01-0AF220F30A26}"/>
    <cellStyle name="Įprastas 5 3 2 2 4 3 3" xfId="2029" xr:uid="{870CFB1A-824B-4A76-A5F0-E018D2253B44}"/>
    <cellStyle name="Įprastas 5 3 2 2 4 3 4" xfId="2866" xr:uid="{B50B2F17-EE84-4E11-A2A4-DE8A5D61CBB8}"/>
    <cellStyle name="Įprastas 5 3 2 2 4 3_8 priedas" xfId="1143" xr:uid="{00000000-0005-0000-0000-0000C8020000}"/>
    <cellStyle name="Įprastas 5 3 2 2 4 4" xfId="591" xr:uid="{00000000-0005-0000-0000-0000C9020000}"/>
    <cellStyle name="Įprastas 5 3 2 2 4 4 2" xfId="2031" xr:uid="{1C044219-C8A7-492D-8538-80706A1DC3F0}"/>
    <cellStyle name="Įprastas 5 3 2 2 4 4 3" xfId="3175" xr:uid="{C4421B53-D2B5-49AE-B0FB-575EB59FDA82}"/>
    <cellStyle name="Įprastas 5 3 2 2 4 4_Lapas1" xfId="2030" xr:uid="{664461E1-8CCF-43C0-9305-E12FDC4A2DC3}"/>
    <cellStyle name="Įprastas 5 3 2 2 4 5" xfId="2032" xr:uid="{B4DD0631-45C3-4D53-A4BF-BEBE4DD82D07}"/>
    <cellStyle name="Įprastas 5 3 2 2 4 6" xfId="2864" xr:uid="{FB6BAE39-5FF1-4323-856F-EE1FC75DB335}"/>
    <cellStyle name="Įprastas 5 3 2 2 4_8 priedas" xfId="1054" xr:uid="{00000000-0005-0000-0000-0000CA020000}"/>
    <cellStyle name="Įprastas 5 3 2 2 5" xfId="266" xr:uid="{00000000-0005-0000-0000-0000CB020000}"/>
    <cellStyle name="Įprastas 5 3 2 2 5 2" xfId="639" xr:uid="{00000000-0005-0000-0000-0000CC020000}"/>
    <cellStyle name="Įprastas 5 3 2 2 5 2 2" xfId="2034" xr:uid="{7CF30688-943C-4026-83D0-84D64F8307F2}"/>
    <cellStyle name="Įprastas 5 3 2 2 5 2 3" xfId="3223" xr:uid="{062E9A67-D453-42CB-A910-E38043FFEA2D}"/>
    <cellStyle name="Įprastas 5 3 2 2 5 2_Lapas1" xfId="2033" xr:uid="{F0F5B3BE-86F3-4E71-9DDC-8A4B038490D0}"/>
    <cellStyle name="Įprastas 5 3 2 2 5 3" xfId="2035" xr:uid="{BA617316-82FE-4992-BFE6-E111096F94C0}"/>
    <cellStyle name="Įprastas 5 3 2 2 5 4" xfId="2867" xr:uid="{010A22FA-08F8-4BA4-81E1-F3B3E19957F5}"/>
    <cellStyle name="Įprastas 5 3 2 2 5_8 priedas" xfId="1007" xr:uid="{00000000-0005-0000-0000-0000CD020000}"/>
    <cellStyle name="Įprastas 5 3 2 2 6" xfId="267" xr:uid="{00000000-0005-0000-0000-0000CE020000}"/>
    <cellStyle name="Įprastas 5 3 2 2 6 2" xfId="783" xr:uid="{00000000-0005-0000-0000-0000CF020000}"/>
    <cellStyle name="Įprastas 5 3 2 2 6 2 2" xfId="2037" xr:uid="{DB43181E-669A-47C6-A093-A5D975B0795D}"/>
    <cellStyle name="Įprastas 5 3 2 2 6 2 3" xfId="3367" xr:uid="{DD60BA1A-48E0-4AD1-AEED-DF46050114F7}"/>
    <cellStyle name="Įprastas 5 3 2 2 6 2_Lapas1" xfId="2036" xr:uid="{E9CB87A3-81C9-4C0D-AB41-63EFA3338F12}"/>
    <cellStyle name="Įprastas 5 3 2 2 6 3" xfId="2038" xr:uid="{4E118079-0A32-439E-B84B-0534094E0AAE}"/>
    <cellStyle name="Įprastas 5 3 2 2 6 4" xfId="2868" xr:uid="{16FB3229-325C-429D-AA12-9E37123933E5}"/>
    <cellStyle name="Įprastas 5 3 2 2 6_8 priedas" xfId="1233" xr:uid="{00000000-0005-0000-0000-0000D0020000}"/>
    <cellStyle name="Įprastas 5 3 2 2 7" xfId="495" xr:uid="{00000000-0005-0000-0000-0000D1020000}"/>
    <cellStyle name="Įprastas 5 3 2 2 7 2" xfId="2040" xr:uid="{C319265E-DB82-4CB7-9D1D-AB576006C875}"/>
    <cellStyle name="Įprastas 5 3 2 2 7 3" xfId="3079" xr:uid="{9A8FB8B3-D4BD-4767-864D-13463E37A739}"/>
    <cellStyle name="Įprastas 5 3 2 2 7_Lapas1" xfId="2039" xr:uid="{2B907B2C-40FC-4F69-AD2D-7E73FE57B25A}"/>
    <cellStyle name="Įprastas 5 3 2 2 8" xfId="2041" xr:uid="{C4DF07C7-1E29-43EC-8A09-637BA576A88D}"/>
    <cellStyle name="Įprastas 5 3 2 2 9" xfId="2851" xr:uid="{40734A63-8910-4543-A03F-3FD41D6919AB}"/>
    <cellStyle name="Įprastas 5 3 2 2_8 priedas" xfId="1231" xr:uid="{00000000-0005-0000-0000-0000D2020000}"/>
    <cellStyle name="Įprastas 5 3 2 3" xfId="268" xr:uid="{00000000-0005-0000-0000-0000D3020000}"/>
    <cellStyle name="Įprastas 5 3 2 3 2" xfId="269" xr:uid="{00000000-0005-0000-0000-0000D4020000}"/>
    <cellStyle name="Įprastas 5 3 2 3 2 2" xfId="270" xr:uid="{00000000-0005-0000-0000-0000D5020000}"/>
    <cellStyle name="Įprastas 5 3 2 3 2 2 2" xfId="699" xr:uid="{00000000-0005-0000-0000-0000D6020000}"/>
    <cellStyle name="Įprastas 5 3 2 3 2 2 2 2" xfId="2043" xr:uid="{6171181E-4EDC-4C2C-AF72-E4597B6A73EF}"/>
    <cellStyle name="Įprastas 5 3 2 3 2 2 2 3" xfId="3283" xr:uid="{323BA096-53C1-4B5F-B897-FE35E2B95175}"/>
    <cellStyle name="Įprastas 5 3 2 3 2 2 2_Lapas1" xfId="2042" xr:uid="{A0DF29D3-1ECA-4B50-84B6-A1BA9F0B572A}"/>
    <cellStyle name="Įprastas 5 3 2 3 2 2 3" xfId="2044" xr:uid="{9ABA0899-4E2B-46F4-A845-D3C6A66A8397}"/>
    <cellStyle name="Įprastas 5 3 2 3 2 2 4" xfId="2871" xr:uid="{8EF50AAF-9983-485C-A4D1-6F5C2A186A4E}"/>
    <cellStyle name="Įprastas 5 3 2 3 2 2_8 priedas" xfId="1214" xr:uid="{00000000-0005-0000-0000-0000D7020000}"/>
    <cellStyle name="Įprastas 5 3 2 3 2 3" xfId="271" xr:uid="{00000000-0005-0000-0000-0000D8020000}"/>
    <cellStyle name="Įprastas 5 3 2 3 2 3 2" xfId="843" xr:uid="{00000000-0005-0000-0000-0000D9020000}"/>
    <cellStyle name="Įprastas 5 3 2 3 2 3 2 2" xfId="2046" xr:uid="{0AD7C4B2-85E6-482B-A847-AA78E2F822BA}"/>
    <cellStyle name="Įprastas 5 3 2 3 2 3 2 3" xfId="3427" xr:uid="{471E0F12-FCFE-4784-B97F-916B57B3CC49}"/>
    <cellStyle name="Įprastas 5 3 2 3 2 3 2_Lapas1" xfId="2045" xr:uid="{AD555ECF-F83B-4BAA-BA7B-50821E010824}"/>
    <cellStyle name="Įprastas 5 3 2 3 2 3 3" xfId="2047" xr:uid="{B72B8171-809D-498A-B134-2612A39A4DEE}"/>
    <cellStyle name="Įprastas 5 3 2 3 2 3 4" xfId="2872" xr:uid="{F29844CC-8309-4F6A-9CA9-1DF8760B83C4}"/>
    <cellStyle name="Įprastas 5 3 2 3 2 3_8 priedas" xfId="1080" xr:uid="{00000000-0005-0000-0000-0000DA020000}"/>
    <cellStyle name="Įprastas 5 3 2 3 2 4" xfId="555" xr:uid="{00000000-0005-0000-0000-0000DB020000}"/>
    <cellStyle name="Įprastas 5 3 2 3 2 4 2" xfId="2049" xr:uid="{16A15BBC-69EB-42CA-A480-4C1FA993609C}"/>
    <cellStyle name="Įprastas 5 3 2 3 2 4 3" xfId="3139" xr:uid="{E7488E42-D463-4B08-8C7B-8E930B28089E}"/>
    <cellStyle name="Įprastas 5 3 2 3 2 4_Lapas1" xfId="2048" xr:uid="{5597660D-143D-4D76-A62E-3EDCC22D93DF}"/>
    <cellStyle name="Įprastas 5 3 2 3 2 5" xfId="2050" xr:uid="{2583C2FE-B2D7-477F-8FF8-16DC8C7715C3}"/>
    <cellStyle name="Įprastas 5 3 2 3 2 6" xfId="2870" xr:uid="{2C80D139-4F96-42C5-8552-E9AB54E87B0E}"/>
    <cellStyle name="Įprastas 5 3 2 3 2_8 priedas" xfId="966" xr:uid="{00000000-0005-0000-0000-0000DC020000}"/>
    <cellStyle name="Įprastas 5 3 2 3 3" xfId="272" xr:uid="{00000000-0005-0000-0000-0000DD020000}"/>
    <cellStyle name="Įprastas 5 3 2 3 3 2" xfId="273" xr:uid="{00000000-0005-0000-0000-0000DE020000}"/>
    <cellStyle name="Įprastas 5 3 2 3 3 2 2" xfId="747" xr:uid="{00000000-0005-0000-0000-0000DF020000}"/>
    <cellStyle name="Įprastas 5 3 2 3 3 2 2 2" xfId="2052" xr:uid="{264B7974-365E-4DA7-B5D9-15299E8B36BB}"/>
    <cellStyle name="Įprastas 5 3 2 3 3 2 2 3" xfId="3331" xr:uid="{AEFF2E1F-87C5-40DD-880D-283023F400A8}"/>
    <cellStyle name="Įprastas 5 3 2 3 3 2 2_Lapas1" xfId="2051" xr:uid="{E0D4C773-D2AF-4F8F-967D-B5ECA029304F}"/>
    <cellStyle name="Įprastas 5 3 2 3 3 2 3" xfId="2053" xr:uid="{5634E0B1-DAD5-4C91-A8EC-8E4EC52C3960}"/>
    <cellStyle name="Įprastas 5 3 2 3 3 2 4" xfId="2874" xr:uid="{9DC742F3-E312-442C-AA24-571BBF2AAD71}"/>
    <cellStyle name="Įprastas 5 3 2 3 3 2_8 priedas" xfId="1168" xr:uid="{00000000-0005-0000-0000-0000E0020000}"/>
    <cellStyle name="Įprastas 5 3 2 3 3 3" xfId="274" xr:uid="{00000000-0005-0000-0000-0000E1020000}"/>
    <cellStyle name="Įprastas 5 3 2 3 3 3 2" xfId="891" xr:uid="{00000000-0005-0000-0000-0000E2020000}"/>
    <cellStyle name="Įprastas 5 3 2 3 3 3 2 2" xfId="2055" xr:uid="{4173E4BE-ED66-4454-B376-5DC798687D22}"/>
    <cellStyle name="Įprastas 5 3 2 3 3 3 2 3" xfId="3475" xr:uid="{B21475A7-826C-4839-9982-8A5FB0FF7CB6}"/>
    <cellStyle name="Įprastas 5 3 2 3 3 3 2_Lapas1" xfId="2054" xr:uid="{52BB2D07-7F1D-454F-9C31-F52D2F623F9D}"/>
    <cellStyle name="Įprastas 5 3 2 3 3 3 3" xfId="2056" xr:uid="{60EBE31B-2EA2-4926-ACE3-822023E2A353}"/>
    <cellStyle name="Įprastas 5 3 2 3 3 3 4" xfId="2875" xr:uid="{18FE32D7-34BD-45D2-876D-1572360561B4}"/>
    <cellStyle name="Įprastas 5 3 2 3 3 3_8 priedas" xfId="1032" xr:uid="{00000000-0005-0000-0000-0000E3020000}"/>
    <cellStyle name="Įprastas 5 3 2 3 3 4" xfId="603" xr:uid="{00000000-0005-0000-0000-0000E4020000}"/>
    <cellStyle name="Įprastas 5 3 2 3 3 4 2" xfId="2058" xr:uid="{A4F8AA74-0A13-4AA9-BF1C-6C012B7D9774}"/>
    <cellStyle name="Įprastas 5 3 2 3 3 4 3" xfId="3187" xr:uid="{D561CCA5-95BF-43F4-93AB-471F642FE642}"/>
    <cellStyle name="Įprastas 5 3 2 3 3 4_Lapas1" xfId="2057" xr:uid="{5D9A20EA-7F2E-450F-A4B5-614A29025B38}"/>
    <cellStyle name="Įprastas 5 3 2 3 3 5" xfId="2059" xr:uid="{0C9C40A6-ED0B-4283-920B-0813267B9B3A}"/>
    <cellStyle name="Įprastas 5 3 2 3 3 6" xfId="2873" xr:uid="{E37443BD-E802-4E27-80E9-6A74C60C2F06}"/>
    <cellStyle name="Įprastas 5 3 2 3 3_8 priedas" xfId="1305" xr:uid="{00000000-0005-0000-0000-0000E5020000}"/>
    <cellStyle name="Įprastas 5 3 2 3 4" xfId="275" xr:uid="{00000000-0005-0000-0000-0000E6020000}"/>
    <cellStyle name="Įprastas 5 3 2 3 4 2" xfId="651" xr:uid="{00000000-0005-0000-0000-0000E7020000}"/>
    <cellStyle name="Įprastas 5 3 2 3 4 2 2" xfId="2061" xr:uid="{B3EC15A1-7214-4968-B1A4-F876254D4D3E}"/>
    <cellStyle name="Įprastas 5 3 2 3 4 2 3" xfId="3235" xr:uid="{4DF64368-CDF7-4CB0-9A7F-225E5133591F}"/>
    <cellStyle name="Įprastas 5 3 2 3 4 2_Lapas1" xfId="2060" xr:uid="{761AF22E-24CC-4F47-AF15-B24E3F7290E0}"/>
    <cellStyle name="Įprastas 5 3 2 3 4 3" xfId="2062" xr:uid="{C1FF0352-4917-4E54-A845-3B19951356F2}"/>
    <cellStyle name="Įprastas 5 3 2 3 4 4" xfId="2876" xr:uid="{51CC3901-E633-4474-A40F-A2C3856779C0}"/>
    <cellStyle name="Įprastas 5 3 2 3 4_8 priedas" xfId="1256" xr:uid="{00000000-0005-0000-0000-0000E8020000}"/>
    <cellStyle name="Įprastas 5 3 2 3 5" xfId="276" xr:uid="{00000000-0005-0000-0000-0000E9020000}"/>
    <cellStyle name="Įprastas 5 3 2 3 5 2" xfId="795" xr:uid="{00000000-0005-0000-0000-0000EA020000}"/>
    <cellStyle name="Įprastas 5 3 2 3 5 2 2" xfId="2064" xr:uid="{3A057E36-0FEF-4AB5-8BAA-30ED2B6AA1A4}"/>
    <cellStyle name="Įprastas 5 3 2 3 5 2 3" xfId="3379" xr:uid="{5246C08C-F4FD-467F-9E9B-A32A9D271EE5}"/>
    <cellStyle name="Įprastas 5 3 2 3 5 2_Lapas1" xfId="2063" xr:uid="{58C397C6-DADD-449A-82C5-FA0FA736325A}"/>
    <cellStyle name="Įprastas 5 3 2 3 5 3" xfId="2065" xr:uid="{56BE6AA0-98B9-4827-BD78-E5F0546D7ACB}"/>
    <cellStyle name="Įprastas 5 3 2 3 5 4" xfId="2877" xr:uid="{0C51E28E-B6E7-42C7-87AA-6BB2AB5E73BC}"/>
    <cellStyle name="Įprastas 5 3 2 3 5_8 priedas" xfId="1120" xr:uid="{00000000-0005-0000-0000-0000EB020000}"/>
    <cellStyle name="Įprastas 5 3 2 3 6" xfId="507" xr:uid="{00000000-0005-0000-0000-0000EC020000}"/>
    <cellStyle name="Įprastas 5 3 2 3 6 2" xfId="2067" xr:uid="{92BB610B-5644-4A50-BA9E-BE362246F492}"/>
    <cellStyle name="Įprastas 5 3 2 3 6 3" xfId="3091" xr:uid="{1F3AEA03-2E80-4DD4-8DE1-7C75AFEFF869}"/>
    <cellStyle name="Įprastas 5 3 2 3 6_Lapas1" xfId="2066" xr:uid="{26EC7AB7-0E89-4760-98F0-89006793F600}"/>
    <cellStyle name="Įprastas 5 3 2 3 7" xfId="2068" xr:uid="{BD8948F0-2AA9-41F1-BFE9-7AF48BEE37F7}"/>
    <cellStyle name="Įprastas 5 3 2 3 8" xfId="2869" xr:uid="{BA74F118-E92F-492D-9747-2A60A561C618}"/>
    <cellStyle name="Įprastas 5 3 2 3_8 priedas" xfId="1103" xr:uid="{00000000-0005-0000-0000-0000ED020000}"/>
    <cellStyle name="Įprastas 5 3 2 4" xfId="277" xr:uid="{00000000-0005-0000-0000-0000EE020000}"/>
    <cellStyle name="Įprastas 5 3 2 4 2" xfId="278" xr:uid="{00000000-0005-0000-0000-0000EF020000}"/>
    <cellStyle name="Įprastas 5 3 2 4 2 2" xfId="675" xr:uid="{00000000-0005-0000-0000-0000F0020000}"/>
    <cellStyle name="Įprastas 5 3 2 4 2 2 2" xfId="2070" xr:uid="{9E9782C7-DFE6-46A5-B021-535766274DFC}"/>
    <cellStyle name="Įprastas 5 3 2 4 2 2 3" xfId="3259" xr:uid="{1EDAC0E6-2572-4B61-B369-81249368D153}"/>
    <cellStyle name="Įprastas 5 3 2 4 2 2_Lapas1" xfId="2069" xr:uid="{38697103-A4A6-4FC1-8AB3-90DEBA355E13}"/>
    <cellStyle name="Įprastas 5 3 2 4 2 3" xfId="2071" xr:uid="{BB9C5D9E-1C8F-4F1D-A9D5-51836FEA7B78}"/>
    <cellStyle name="Įprastas 5 3 2 4 2 4" xfId="2879" xr:uid="{E304BD90-EF1F-4DD1-A85E-C3CC50574F73}"/>
    <cellStyle name="Įprastas 5 3 2 4 2_8 priedas" xfId="943" xr:uid="{00000000-0005-0000-0000-0000F1020000}"/>
    <cellStyle name="Įprastas 5 3 2 4 3" xfId="279" xr:uid="{00000000-0005-0000-0000-0000F2020000}"/>
    <cellStyle name="Įprastas 5 3 2 4 3 2" xfId="819" xr:uid="{00000000-0005-0000-0000-0000F3020000}"/>
    <cellStyle name="Įprastas 5 3 2 4 3 2 2" xfId="2073" xr:uid="{86C93C1F-5D94-4870-95E8-E0822C1A3E6B}"/>
    <cellStyle name="Įprastas 5 3 2 4 3 2 3" xfId="3403" xr:uid="{CBB05E1E-16DA-4B85-BCFD-CCE76F8450D3}"/>
    <cellStyle name="Įprastas 5 3 2 4 3 2_Lapas1" xfId="2072" xr:uid="{9B05F7E6-C632-4CCD-8D6E-7465BB9FDFAC}"/>
    <cellStyle name="Įprastas 5 3 2 4 3 3" xfId="2074" xr:uid="{1F9DD816-71E7-4229-B9D3-61496DC8DC4C}"/>
    <cellStyle name="Įprastas 5 3 2 4 3 4" xfId="2880" xr:uid="{8F0349A5-9B45-4B00-898A-3C8053C658A1}"/>
    <cellStyle name="Įprastas 5 3 2 4 3_8 priedas" xfId="1202" xr:uid="{00000000-0005-0000-0000-0000F4020000}"/>
    <cellStyle name="Įprastas 5 3 2 4 4" xfId="531" xr:uid="{00000000-0005-0000-0000-0000F5020000}"/>
    <cellStyle name="Įprastas 5 3 2 4 4 2" xfId="2076" xr:uid="{AB26E05F-2064-4FA5-9D61-7C38DDDEBE55}"/>
    <cellStyle name="Įprastas 5 3 2 4 4 3" xfId="3115" xr:uid="{C955682F-E307-4501-A3D3-77B20922A2DA}"/>
    <cellStyle name="Įprastas 5 3 2 4 4_Lapas1" xfId="2075" xr:uid="{531E33F1-8F57-4245-B0FB-7A1C3DCC9E04}"/>
    <cellStyle name="Įprastas 5 3 2 4 5" xfId="2077" xr:uid="{D7A8BC00-E4B5-4D6B-9863-F6381BEB5212}"/>
    <cellStyle name="Įprastas 5 3 2 4 6" xfId="2878" xr:uid="{0C74F71D-9298-4D82-891D-28F8BE70D7CF}"/>
    <cellStyle name="Įprastas 5 3 2 4_8 priedas" xfId="984" xr:uid="{00000000-0005-0000-0000-0000F6020000}"/>
    <cellStyle name="Įprastas 5 3 2 5" xfId="280" xr:uid="{00000000-0005-0000-0000-0000F7020000}"/>
    <cellStyle name="Įprastas 5 3 2 5 2" xfId="281" xr:uid="{00000000-0005-0000-0000-0000F8020000}"/>
    <cellStyle name="Įprastas 5 3 2 5 2 2" xfId="723" xr:uid="{00000000-0005-0000-0000-0000F9020000}"/>
    <cellStyle name="Įprastas 5 3 2 5 2 2 2" xfId="2079" xr:uid="{52A006BD-90E7-4650-B0AB-BA12C749365E}"/>
    <cellStyle name="Įprastas 5 3 2 5 2 2 3" xfId="3307" xr:uid="{70D548AB-C160-4B43-95BA-555B0EAA7983}"/>
    <cellStyle name="Įprastas 5 3 2 5 2 2_Lapas1" xfId="2078" xr:uid="{DA92B97B-7ABA-4B28-953B-76BEC171C7BA}"/>
    <cellStyle name="Įprastas 5 3 2 5 2 3" xfId="2080" xr:uid="{5F36E730-98B1-4200-8760-EACA9D7AF3AF}"/>
    <cellStyle name="Įprastas 5 3 2 5 2 4" xfId="2882" xr:uid="{3DDFB6C1-614E-4DE9-ACB8-351952063FA9}"/>
    <cellStyle name="Įprastas 5 3 2 5 2_8 priedas" xfId="1293" xr:uid="{00000000-0005-0000-0000-0000FA020000}"/>
    <cellStyle name="Įprastas 5 3 2 5 3" xfId="282" xr:uid="{00000000-0005-0000-0000-0000FB020000}"/>
    <cellStyle name="Įprastas 5 3 2 5 3 2" xfId="867" xr:uid="{00000000-0005-0000-0000-0000FC020000}"/>
    <cellStyle name="Įprastas 5 3 2 5 3 2 2" xfId="2082" xr:uid="{EDA278E1-AE1D-4813-B594-A83884360476}"/>
    <cellStyle name="Įprastas 5 3 2 5 3 2 3" xfId="3451" xr:uid="{ABD827EC-DF39-49B9-9151-3AFE48E48C24}"/>
    <cellStyle name="Įprastas 5 3 2 5 3 2_Lapas1" xfId="2081" xr:uid="{0BB9E091-3EB1-4A79-958F-AADFF7F58478}"/>
    <cellStyle name="Įprastas 5 3 2 5 3 3" xfId="2083" xr:uid="{4A0109F3-45B4-4DC5-96C7-5517AF0AA64D}"/>
    <cellStyle name="Įprastas 5 3 2 5 3 4" xfId="2883" xr:uid="{743DCD74-A735-4F70-8EB3-6AEEC12CBBF0}"/>
    <cellStyle name="Įprastas 5 3 2 5 3_8 priedas" xfId="1156" xr:uid="{00000000-0005-0000-0000-0000FD020000}"/>
    <cellStyle name="Įprastas 5 3 2 5 4" xfId="579" xr:uid="{00000000-0005-0000-0000-0000FE020000}"/>
    <cellStyle name="Įprastas 5 3 2 5 4 2" xfId="2085" xr:uid="{71A97E5C-007F-4CBD-A4DF-B93D3DFC72D0}"/>
    <cellStyle name="Įprastas 5 3 2 5 4 3" xfId="3163" xr:uid="{4C4E862D-36CB-4225-95BC-D3FF76031099}"/>
    <cellStyle name="Įprastas 5 3 2 5 4_Lapas1" xfId="2084" xr:uid="{534AAC64-D51F-4DDD-A96D-6EAE84D0EFC0}"/>
    <cellStyle name="Įprastas 5 3 2 5 5" xfId="2086" xr:uid="{4E99C989-628C-41DC-B11F-F86A1A9C608F}"/>
    <cellStyle name="Įprastas 5 3 2 5 6" xfId="2881" xr:uid="{A63E4BB5-945B-4C25-91EF-26B0DBC4A7A4}"/>
    <cellStyle name="Įprastas 5 3 2 5_8 priedas" xfId="1068" xr:uid="{00000000-0005-0000-0000-0000FF020000}"/>
    <cellStyle name="Įprastas 5 3 2 6" xfId="283" xr:uid="{00000000-0005-0000-0000-000000030000}"/>
    <cellStyle name="Įprastas 5 3 2 6 2" xfId="627" xr:uid="{00000000-0005-0000-0000-000001030000}"/>
    <cellStyle name="Įprastas 5 3 2 6 2 2" xfId="2088" xr:uid="{60C4CBE7-D42C-4FC0-83E0-0D90B58CB01F}"/>
    <cellStyle name="Įprastas 5 3 2 6 2 3" xfId="3211" xr:uid="{3F6742B9-8440-4C93-897E-99CC1DC2ABA3}"/>
    <cellStyle name="Įprastas 5 3 2 6 2_Lapas1" xfId="2087" xr:uid="{8282F48E-259D-4217-BAB1-B84E3C64A38C}"/>
    <cellStyle name="Įprastas 5 3 2 6 3" xfId="2089" xr:uid="{BCA376C2-3A15-4996-8955-253E6938505A}"/>
    <cellStyle name="Įprastas 5 3 2 6 4" xfId="2884" xr:uid="{107629CD-83E8-4354-81C2-9357D4E3540E}"/>
    <cellStyle name="Įprastas 5 3 2 6_8 priedas" xfId="1021" xr:uid="{00000000-0005-0000-0000-000002030000}"/>
    <cellStyle name="Įprastas 5 3 2 7" xfId="284" xr:uid="{00000000-0005-0000-0000-000003030000}"/>
    <cellStyle name="Įprastas 5 3 2 7 2" xfId="771" xr:uid="{00000000-0005-0000-0000-000004030000}"/>
    <cellStyle name="Įprastas 5 3 2 7 2 2" xfId="2091" xr:uid="{EEA43AE6-98F9-4F94-A6D6-7DA8061EE162}"/>
    <cellStyle name="Įprastas 5 3 2 7 2 3" xfId="3355" xr:uid="{0CD74924-C42A-4DA5-AB64-92D85F1868D8}"/>
    <cellStyle name="Įprastas 5 3 2 7 2_Lapas1" xfId="2090" xr:uid="{59A6C6F6-E90C-49E4-A1B1-E23B1FE42080}"/>
    <cellStyle name="Įprastas 5 3 2 7 3" xfId="2092" xr:uid="{4F664094-0C49-4E12-8DB5-80E44CCE384A}"/>
    <cellStyle name="Įprastas 5 3 2 7 4" xfId="2885" xr:uid="{F07AE68A-4D24-442D-BF16-8DDDF1842D43}"/>
    <cellStyle name="Įprastas 5 3 2 7_8 priedas" xfId="1246" xr:uid="{00000000-0005-0000-0000-000005030000}"/>
    <cellStyle name="Įprastas 5 3 2 8" xfId="483" xr:uid="{00000000-0005-0000-0000-000006030000}"/>
    <cellStyle name="Įprastas 5 3 2 8 2" xfId="2094" xr:uid="{CBF62CB4-9DA1-4D43-8A7C-4F6DA3EAD829}"/>
    <cellStyle name="Įprastas 5 3 2 8 3" xfId="3067" xr:uid="{453C07BB-CC3E-42CA-94AC-46B6684F6D69}"/>
    <cellStyle name="Įprastas 5 3 2 8_Lapas1" xfId="2093" xr:uid="{76EEDBCA-67BF-48AE-851D-D5ADCC009EED}"/>
    <cellStyle name="Įprastas 5 3 2 9" xfId="2095" xr:uid="{4F358487-4560-4177-AAAF-2E275B117CA5}"/>
    <cellStyle name="Įprastas 5 3 2_8 priedas" xfId="249" xr:uid="{00000000-0005-0000-0000-000007030000}"/>
    <cellStyle name="Įprastas 5 3 3" xfId="285" xr:uid="{00000000-0005-0000-0000-000008030000}"/>
    <cellStyle name="Įprastas 5 3 3 2" xfId="286" xr:uid="{00000000-0005-0000-0000-000009030000}"/>
    <cellStyle name="Įprastas 5 3 3 2 2" xfId="287" xr:uid="{00000000-0005-0000-0000-00000A030000}"/>
    <cellStyle name="Įprastas 5 3 3 2 2 2" xfId="288" xr:uid="{00000000-0005-0000-0000-00000B030000}"/>
    <cellStyle name="Įprastas 5 3 3 2 2 2 2" xfId="707" xr:uid="{00000000-0005-0000-0000-00000C030000}"/>
    <cellStyle name="Įprastas 5 3 3 2 2 2 2 2" xfId="2097" xr:uid="{2DC1EAFC-46F5-4132-BD56-8B220AFC8FAA}"/>
    <cellStyle name="Įprastas 5 3 3 2 2 2 2 3" xfId="3291" xr:uid="{52699DF3-70CA-4D0A-AD29-FAF8ACE47F44}"/>
    <cellStyle name="Įprastas 5 3 3 2 2 2 2_Lapas1" xfId="2096" xr:uid="{EC5F130D-9569-433B-A163-989C947083BE}"/>
    <cellStyle name="Įprastas 5 3 3 2 2 2 3" xfId="2098" xr:uid="{CCDB710B-DA40-4C1F-9B18-89BD35713921}"/>
    <cellStyle name="Įprastas 5 3 3 2 2 2 4" xfId="2889" xr:uid="{4CA3F0D3-EAA4-4B54-AF32-5A17D0773BD0}"/>
    <cellStyle name="Įprastas 5 3 3 2 2 2_8 priedas" xfId="1317" xr:uid="{00000000-0005-0000-0000-00000D030000}"/>
    <cellStyle name="Įprastas 5 3 3 2 2 3" xfId="289" xr:uid="{00000000-0005-0000-0000-00000E030000}"/>
    <cellStyle name="Įprastas 5 3 3 2 2 3 2" xfId="851" xr:uid="{00000000-0005-0000-0000-00000F030000}"/>
    <cellStyle name="Įprastas 5 3 3 2 2 3 2 2" xfId="2100" xr:uid="{D97ACA46-1DEF-4BAD-ABAC-57176565C16B}"/>
    <cellStyle name="Įprastas 5 3 3 2 2 3 2 3" xfId="3435" xr:uid="{222773B5-C7B3-4331-86EC-E8F593E7E148}"/>
    <cellStyle name="Įprastas 5 3 3 2 2 3 2_Lapas1" xfId="2099" xr:uid="{00A35F4F-AF7E-45FC-9FCC-108AF0D53929}"/>
    <cellStyle name="Įprastas 5 3 3 2 2 3 3" xfId="2101" xr:uid="{2ACEFCD5-5F5B-4224-82F6-F1C4FA880BAB}"/>
    <cellStyle name="Įprastas 5 3 3 2 2 3 4" xfId="2890" xr:uid="{F0746571-BA32-41E0-8448-B427814FA9AF}"/>
    <cellStyle name="Įprastas 5 3 3 2 2 3_8 priedas" xfId="1180" xr:uid="{00000000-0005-0000-0000-000010030000}"/>
    <cellStyle name="Įprastas 5 3 3 2 2 4" xfId="563" xr:uid="{00000000-0005-0000-0000-000011030000}"/>
    <cellStyle name="Įprastas 5 3 3 2 2 4 2" xfId="2103" xr:uid="{9E6FA43D-A4D2-4297-AC9E-92C07D4CCEA0}"/>
    <cellStyle name="Įprastas 5 3 3 2 2 4 3" xfId="3147" xr:uid="{BA6AD65F-1EE9-40FA-AABE-911B9E145374}"/>
    <cellStyle name="Įprastas 5 3 3 2 2 4_Lapas1" xfId="2102" xr:uid="{35BB6D62-59FB-4D0F-96FB-3AD79966630E}"/>
    <cellStyle name="Įprastas 5 3 3 2 2 5" xfId="2104" xr:uid="{9D4D6F6D-6380-4B06-8B07-4880D92272D3}"/>
    <cellStyle name="Įprastas 5 3 3 2 2 6" xfId="2888" xr:uid="{50B12770-AFD0-4E12-AB68-15369D0DB5C0}"/>
    <cellStyle name="Įprastas 5 3 3 2 2_8 priedas" xfId="1092" xr:uid="{00000000-0005-0000-0000-000012030000}"/>
    <cellStyle name="Įprastas 5 3 3 2 3" xfId="290" xr:uid="{00000000-0005-0000-0000-000013030000}"/>
    <cellStyle name="Įprastas 5 3 3 2 3 2" xfId="291" xr:uid="{00000000-0005-0000-0000-000014030000}"/>
    <cellStyle name="Įprastas 5 3 3 2 3 2 2" xfId="755" xr:uid="{00000000-0005-0000-0000-000015030000}"/>
    <cellStyle name="Įprastas 5 3 3 2 3 2 2 2" xfId="2106" xr:uid="{3C3C25D0-B91F-4106-A30C-5828FB76780B}"/>
    <cellStyle name="Įprastas 5 3 3 2 3 2 2 3" xfId="3339" xr:uid="{78E26D03-56CC-4C99-ACD1-B24C8EB502D1}"/>
    <cellStyle name="Įprastas 5 3 3 2 3 2 2_Lapas1" xfId="2105" xr:uid="{EEF2BFA1-BDAD-4397-B647-55DD0AE93532}"/>
    <cellStyle name="Įprastas 5 3 3 2 3 2 3" xfId="2107" xr:uid="{C3FEF74A-760B-4477-BABD-34E5E71D6578}"/>
    <cellStyle name="Įprastas 5 3 3 2 3 2 4" xfId="2892" xr:uid="{5027A89A-510C-4731-9AB2-D00D21D6730A}"/>
    <cellStyle name="Įprastas 5 3 3 2 3 2_8 priedas" xfId="1268" xr:uid="{00000000-0005-0000-0000-000016030000}"/>
    <cellStyle name="Įprastas 5 3 3 2 3 3" xfId="292" xr:uid="{00000000-0005-0000-0000-000017030000}"/>
    <cellStyle name="Įprastas 5 3 3 2 3 3 2" xfId="899" xr:uid="{00000000-0005-0000-0000-000018030000}"/>
    <cellStyle name="Įprastas 5 3 3 2 3 3 2 2" xfId="2109" xr:uid="{C5EB8004-C271-4A3E-AE09-8E9E765AC469}"/>
    <cellStyle name="Įprastas 5 3 3 2 3 3 2 3" xfId="3483" xr:uid="{0A20B035-D278-4F1B-9147-51D53F60CE6D}"/>
    <cellStyle name="Įprastas 5 3 3 2 3 3 2_Lapas1" xfId="2108" xr:uid="{A7119A21-8F58-4D31-8346-9532688A2FA4}"/>
    <cellStyle name="Įprastas 5 3 3 2 3 3 3" xfId="2110" xr:uid="{9F58CAC2-869F-4DAD-A5C7-BE00E7DFDD5C}"/>
    <cellStyle name="Įprastas 5 3 3 2 3 3 4" xfId="2893" xr:uid="{231CC879-C53C-4E9A-B60C-EEE4F27E72B3}"/>
    <cellStyle name="Įprastas 5 3 3 2 3 3_8 priedas" xfId="1132" xr:uid="{00000000-0005-0000-0000-000019030000}"/>
    <cellStyle name="Įprastas 5 3 3 2 3 4" xfId="611" xr:uid="{00000000-0005-0000-0000-00001A030000}"/>
    <cellStyle name="Įprastas 5 3 3 2 3 4 2" xfId="2112" xr:uid="{9004B500-5E14-4E85-B947-E13764BB0190}"/>
    <cellStyle name="Įprastas 5 3 3 2 3 4 3" xfId="3195" xr:uid="{4E418CD5-BD29-4500-842C-E3AA9519E79D}"/>
    <cellStyle name="Įprastas 5 3 3 2 3 4_Lapas1" xfId="2111" xr:uid="{777F7D0C-82D6-4FA9-8F06-96F181E60ECD}"/>
    <cellStyle name="Įprastas 5 3 3 2 3 5" xfId="2113" xr:uid="{FC1876B1-7760-48F7-89C4-88532487D069}"/>
    <cellStyle name="Įprastas 5 3 3 2 3 6" xfId="2891" xr:uid="{CA390912-2B68-4CE6-8351-1768A61CEAF3}"/>
    <cellStyle name="Įprastas 5 3 3 2 3_8 priedas" xfId="1044" xr:uid="{00000000-0005-0000-0000-00001B030000}"/>
    <cellStyle name="Įprastas 5 3 3 2 4" xfId="293" xr:uid="{00000000-0005-0000-0000-00001C030000}"/>
    <cellStyle name="Įprastas 5 3 3 2 4 2" xfId="659" xr:uid="{00000000-0005-0000-0000-00001D030000}"/>
    <cellStyle name="Įprastas 5 3 3 2 4 2 2" xfId="2115" xr:uid="{4CA7AC1E-C76F-438B-B07B-0B8244A98744}"/>
    <cellStyle name="Įprastas 5 3 3 2 4 2 3" xfId="3243" xr:uid="{39116DDD-13B9-4DDB-8C12-6AE55A7A8821}"/>
    <cellStyle name="Įprastas 5 3 3 2 4 2_Lapas1" xfId="2114" xr:uid="{94B39E06-F90F-48AC-BA70-1F199C6CD441}"/>
    <cellStyle name="Įprastas 5 3 3 2 4 3" xfId="2116" xr:uid="{7A74EAC4-A4F6-4D4C-989B-C5C4A74CA5DC}"/>
    <cellStyle name="Įprastas 5 3 3 2 4 4" xfId="2894" xr:uid="{1C12CD02-E411-470B-ADD8-918A353DB85D}"/>
    <cellStyle name="Įprastas 5 3 3 2 4_8 priedas" xfId="996" xr:uid="{00000000-0005-0000-0000-00001E030000}"/>
    <cellStyle name="Įprastas 5 3 3 2 5" xfId="294" xr:uid="{00000000-0005-0000-0000-00001F030000}"/>
    <cellStyle name="Įprastas 5 3 3 2 5 2" xfId="803" xr:uid="{00000000-0005-0000-0000-000020030000}"/>
    <cellStyle name="Įprastas 5 3 3 2 5 2 2" xfId="2118" xr:uid="{B64A4999-A43B-46A1-94E4-B673FD5A3A0D}"/>
    <cellStyle name="Įprastas 5 3 3 2 5 2 3" xfId="3387" xr:uid="{BC308E96-FDDF-48E2-BF36-403E9705DA37}"/>
    <cellStyle name="Įprastas 5 3 3 2 5 2_Lapas1" xfId="2117" xr:uid="{C1048A37-34D2-4C05-ADE3-DF468D6AD9B7}"/>
    <cellStyle name="Įprastas 5 3 3 2 5 3" xfId="2119" xr:uid="{76D38C50-FD45-4BDC-B31A-1842F80D0412}"/>
    <cellStyle name="Įprastas 5 3 3 2 5 4" xfId="2895" xr:uid="{40E7A8F7-7502-4095-AB22-9AD846120C64}"/>
    <cellStyle name="Įprastas 5 3 3 2 5_8 priedas" xfId="955" xr:uid="{00000000-0005-0000-0000-000021030000}"/>
    <cellStyle name="Įprastas 5 3 3 2 6" xfId="515" xr:uid="{00000000-0005-0000-0000-000022030000}"/>
    <cellStyle name="Įprastas 5 3 3 2 6 2" xfId="2121" xr:uid="{1EAACBA8-45B0-4F82-B7DB-2B8A07EDD257}"/>
    <cellStyle name="Įprastas 5 3 3 2 6 3" xfId="3099" xr:uid="{A4B0BEAD-1B7E-4016-89A0-F6A42F7FDCF9}"/>
    <cellStyle name="Įprastas 5 3 3 2 6_Lapas1" xfId="2120" xr:uid="{3E509509-9F60-49A7-AF19-0C0FC11F9F66}"/>
    <cellStyle name="Įprastas 5 3 3 2 7" xfId="2122" xr:uid="{4ECC3E82-DACF-44D7-AA80-6D1961360E0E}"/>
    <cellStyle name="Įprastas 5 3 3 2 8" xfId="2887" xr:uid="{FAA9FAC9-FAAC-4751-93EE-BC1CB0B925D6}"/>
    <cellStyle name="Įprastas 5 3 3 2_8 priedas" xfId="1226" xr:uid="{00000000-0005-0000-0000-000023030000}"/>
    <cellStyle name="Įprastas 5 3 3 3" xfId="295" xr:uid="{00000000-0005-0000-0000-000024030000}"/>
    <cellStyle name="Įprastas 5 3 3 3 2" xfId="296" xr:uid="{00000000-0005-0000-0000-000025030000}"/>
    <cellStyle name="Įprastas 5 3 3 3 2 2" xfId="683" xr:uid="{00000000-0005-0000-0000-000026030000}"/>
    <cellStyle name="Įprastas 5 3 3 3 2 2 2" xfId="2124" xr:uid="{99CE99EB-6313-4440-A4BE-F3CC297C176A}"/>
    <cellStyle name="Įprastas 5 3 3 3 2 2 3" xfId="3267" xr:uid="{78EF5E48-2C4F-4A70-8386-BFAA49BB267E}"/>
    <cellStyle name="Įprastas 5 3 3 3 2 2_Lapas1" xfId="2123" xr:uid="{DFD30CE7-DD4A-4653-99C5-718C8D01CA67}"/>
    <cellStyle name="Įprastas 5 3 3 3 2 3" xfId="2125" xr:uid="{73CB7ED0-E9B6-4E2A-99A7-D3254228AD8E}"/>
    <cellStyle name="Įprastas 5 3 3 3 2 4" xfId="2897" xr:uid="{2B7E8500-83B7-4781-A32E-D93B67CB408A}"/>
    <cellStyle name="Įprastas 5 3 3 3 2_8 priedas" xfId="938" xr:uid="{00000000-0005-0000-0000-000027030000}"/>
    <cellStyle name="Įprastas 5 3 3 3 3" xfId="297" xr:uid="{00000000-0005-0000-0000-000028030000}"/>
    <cellStyle name="Įprastas 5 3 3 3 3 2" xfId="827" xr:uid="{00000000-0005-0000-0000-000029030000}"/>
    <cellStyle name="Įprastas 5 3 3 3 3 2 2" xfId="2127" xr:uid="{9541447E-D13A-4B23-8288-F85FE3FA21FB}"/>
    <cellStyle name="Įprastas 5 3 3 3 3 2 3" xfId="3411" xr:uid="{1E8FA286-E622-4160-A2CC-4426FF9F6D30}"/>
    <cellStyle name="Įprastas 5 3 3 3 3 2_Lapas1" xfId="2126" xr:uid="{ECB055B0-1038-43FF-AD01-721AB12DFCAE}"/>
    <cellStyle name="Įprastas 5 3 3 3 3 3" xfId="2128" xr:uid="{3E3C6165-B0D6-41A6-8FBF-1E16CC05401A}"/>
    <cellStyle name="Įprastas 5 3 3 3 3 4" xfId="2898" xr:uid="{68A2FC61-EF92-4C5F-90E1-617522C24903}"/>
    <cellStyle name="Įprastas 5 3 3 3 3_8 priedas" xfId="1196" xr:uid="{00000000-0005-0000-0000-00002A030000}"/>
    <cellStyle name="Įprastas 5 3 3 3 4" xfId="539" xr:uid="{00000000-0005-0000-0000-00002B030000}"/>
    <cellStyle name="Įprastas 5 3 3 3 4 2" xfId="2130" xr:uid="{0DDCA920-128C-4E23-86B5-E8468EE49996}"/>
    <cellStyle name="Įprastas 5 3 3 3 4 3" xfId="3123" xr:uid="{BF24BD3D-B01A-4247-B763-2BAA93CDD7A6}"/>
    <cellStyle name="Įprastas 5 3 3 3 4_Lapas1" xfId="2129" xr:uid="{2D07336B-F3E2-4DF9-9FE9-DEDB162FEE11}"/>
    <cellStyle name="Įprastas 5 3 3 3 5" xfId="2131" xr:uid="{D0C3B22A-1A35-42A8-B54A-6BED2E9CE24A}"/>
    <cellStyle name="Įprastas 5 3 3 3 6" xfId="2896" xr:uid="{DDC43917-9412-4648-8A7D-4F72B66645E3}"/>
    <cellStyle name="Įprastas 5 3 3 3_8 priedas" xfId="926" xr:uid="{00000000-0005-0000-0000-00002C030000}"/>
    <cellStyle name="Įprastas 5 3 3 4" xfId="298" xr:uid="{00000000-0005-0000-0000-00002D030000}"/>
    <cellStyle name="Įprastas 5 3 3 4 2" xfId="299" xr:uid="{00000000-0005-0000-0000-00002E030000}"/>
    <cellStyle name="Įprastas 5 3 3 4 2 2" xfId="731" xr:uid="{00000000-0005-0000-0000-00002F030000}"/>
    <cellStyle name="Įprastas 5 3 3 4 2 2 2" xfId="2133" xr:uid="{FABA25E7-0C13-42E6-B629-7C7F92CB546B}"/>
    <cellStyle name="Įprastas 5 3 3 4 2 2 3" xfId="3315" xr:uid="{799747E4-F4A7-45D9-BDEF-04A7ABFF7354}"/>
    <cellStyle name="Įprastas 5 3 3 4 2 2_Lapas1" xfId="2132" xr:uid="{07C39603-52E2-49FE-94F8-761694094F33}"/>
    <cellStyle name="Įprastas 5 3 3 4 2 3" xfId="2134" xr:uid="{13A9B52F-2844-4C9F-8390-0478BB85C27F}"/>
    <cellStyle name="Įprastas 5 3 3 4 2 4" xfId="2900" xr:uid="{6D43E38D-10BC-4BEC-820C-5DD37D20E808}"/>
    <cellStyle name="Įprastas 5 3 3 4 2_8 priedas" xfId="1287" xr:uid="{00000000-0005-0000-0000-000030030000}"/>
    <cellStyle name="Įprastas 5 3 3 4 3" xfId="300" xr:uid="{00000000-0005-0000-0000-000031030000}"/>
    <cellStyle name="Įprastas 5 3 3 4 3 2" xfId="875" xr:uid="{00000000-0005-0000-0000-000032030000}"/>
    <cellStyle name="Įprastas 5 3 3 4 3 2 2" xfId="2136" xr:uid="{10446568-C5AA-4E1F-BADE-594B4263B792}"/>
    <cellStyle name="Įprastas 5 3 3 4 3 2 3" xfId="3459" xr:uid="{FFE219EA-CDF6-471D-82F8-29EDCFDCA1B2}"/>
    <cellStyle name="Įprastas 5 3 3 4 3 2_Lapas1" xfId="2135" xr:uid="{B87E60C6-1588-4AB3-A8A8-CFB7BDC01FF3}"/>
    <cellStyle name="Įprastas 5 3 3 4 3 3" xfId="2137" xr:uid="{03CFBCD8-1A27-4DBF-8C20-DBD7F5B8563B}"/>
    <cellStyle name="Įprastas 5 3 3 4 3 4" xfId="2901" xr:uid="{38A0E027-2FEA-413C-9491-55A0AF3B497F}"/>
    <cellStyle name="Įprastas 5 3 3 4 3_8 priedas" xfId="1150" xr:uid="{00000000-0005-0000-0000-000033030000}"/>
    <cellStyle name="Įprastas 5 3 3 4 4" xfId="587" xr:uid="{00000000-0005-0000-0000-000034030000}"/>
    <cellStyle name="Įprastas 5 3 3 4 4 2" xfId="2139" xr:uid="{2AEEED0F-217B-46D6-ACC9-C6DECFECE0FB}"/>
    <cellStyle name="Įprastas 5 3 3 4 4 3" xfId="3171" xr:uid="{C5412258-894A-45B7-B219-FBFFB9B118BB}"/>
    <cellStyle name="Įprastas 5 3 3 4 4_Lapas1" xfId="2138" xr:uid="{891417EC-F4B4-4837-ABCB-8E4D78369710}"/>
    <cellStyle name="Įprastas 5 3 3 4 5" xfId="2140" xr:uid="{7F9B4D25-28F1-412B-9654-B778462E303E}"/>
    <cellStyle name="Įprastas 5 3 3 4 6" xfId="2899" xr:uid="{1FF792A8-16BD-4742-A847-36816E667A72}"/>
    <cellStyle name="Įprastas 5 3 3 4_8 priedas" xfId="1062" xr:uid="{00000000-0005-0000-0000-000035030000}"/>
    <cellStyle name="Įprastas 5 3 3 5" xfId="301" xr:uid="{00000000-0005-0000-0000-000036030000}"/>
    <cellStyle name="Įprastas 5 3 3 5 2" xfId="635" xr:uid="{00000000-0005-0000-0000-000037030000}"/>
    <cellStyle name="Įprastas 5 3 3 5 2 2" xfId="2142" xr:uid="{0A498F03-7EA9-4BB0-9B87-0140944C3E40}"/>
    <cellStyle name="Įprastas 5 3 3 5 2 3" xfId="3219" xr:uid="{E270E751-1D6D-4E6C-831D-B073C51A805F}"/>
    <cellStyle name="Įprastas 5 3 3 5 2_Lapas1" xfId="2141" xr:uid="{C6327565-8238-48D1-815F-B7B228BA6A4D}"/>
    <cellStyle name="Įprastas 5 3 3 5 3" xfId="2143" xr:uid="{B2E5F0F9-6FB2-466E-82A6-D869FEB418D3}"/>
    <cellStyle name="Įprastas 5 3 3 5 4" xfId="2902" xr:uid="{53F8B2D7-283B-4E44-BC7F-29E7ECDE341E}"/>
    <cellStyle name="Įprastas 5 3 3 5_8 priedas" xfId="1015" xr:uid="{00000000-0005-0000-0000-000038030000}"/>
    <cellStyle name="Įprastas 5 3 3 6" xfId="302" xr:uid="{00000000-0005-0000-0000-000039030000}"/>
    <cellStyle name="Įprastas 5 3 3 6 2" xfId="779" xr:uid="{00000000-0005-0000-0000-00003A030000}"/>
    <cellStyle name="Įprastas 5 3 3 6 2 2" xfId="2145" xr:uid="{3BFA81DF-C0C0-4B59-A451-3AA3BB44626A}"/>
    <cellStyle name="Įprastas 5 3 3 6 2 3" xfId="3363" xr:uid="{B4A5D374-FBCB-4FB3-8D0A-49C5146B226C}"/>
    <cellStyle name="Įprastas 5 3 3 6 2_Lapas1" xfId="2144" xr:uid="{79F374FF-406C-47E3-8291-9A2EB8F44416}"/>
    <cellStyle name="Įprastas 5 3 3 6 3" xfId="2146" xr:uid="{B27717E4-BDEA-4EC0-BF44-47EDBF1F179D}"/>
    <cellStyle name="Įprastas 5 3 3 6 4" xfId="2903" xr:uid="{E3B61773-3264-48CE-9236-D9B3FF58220D}"/>
    <cellStyle name="Įprastas 5 3 3 6_8 priedas" xfId="1240" xr:uid="{00000000-0005-0000-0000-00003B030000}"/>
    <cellStyle name="Įprastas 5 3 3 7" xfId="491" xr:uid="{00000000-0005-0000-0000-00003C030000}"/>
    <cellStyle name="Įprastas 5 3 3 7 2" xfId="2148" xr:uid="{301E3D86-C379-4F02-9AEE-4506D96DDA7D}"/>
    <cellStyle name="Įprastas 5 3 3 7 3" xfId="3075" xr:uid="{41BB3749-B684-412F-9A14-52108E6721D2}"/>
    <cellStyle name="Įprastas 5 3 3 7_Lapas1" xfId="2147" xr:uid="{3AE20472-D6FF-427E-9EE2-ACC21C8176A3}"/>
    <cellStyle name="Įprastas 5 3 3 8" xfId="2149" xr:uid="{8F73D807-327C-4E36-8F41-46FAFB3E3F56}"/>
    <cellStyle name="Įprastas 5 3 3 9" xfId="2886" xr:uid="{965DD9E2-4BD3-4013-BA8F-482108951115}"/>
    <cellStyle name="Įprastas 5 3 3_8 priedas" xfId="980" xr:uid="{00000000-0005-0000-0000-00003D030000}"/>
    <cellStyle name="Įprastas 5 3 4" xfId="303" xr:uid="{00000000-0005-0000-0000-00003E030000}"/>
    <cellStyle name="Įprastas 5 3 4 2" xfId="304" xr:uid="{00000000-0005-0000-0000-00003F030000}"/>
    <cellStyle name="Įprastas 5 3 4 2 2" xfId="305" xr:uid="{00000000-0005-0000-0000-000040030000}"/>
    <cellStyle name="Įprastas 5 3 4 2 2 2" xfId="695" xr:uid="{00000000-0005-0000-0000-000041030000}"/>
    <cellStyle name="Įprastas 5 3 4 2 2 2 2" xfId="2151" xr:uid="{85FE4D85-160E-4831-BECD-EEF9746AA95F}"/>
    <cellStyle name="Įprastas 5 3 4 2 2 2 3" xfId="3279" xr:uid="{76A7B503-380D-4C2F-92FB-D5FA3BF4EB9D}"/>
    <cellStyle name="Įprastas 5 3 4 2 2 2_Lapas1" xfId="2150" xr:uid="{426B8C02-392C-4594-83FF-2D5FCE4A521E}"/>
    <cellStyle name="Įprastas 5 3 4 2 2 3" xfId="2152" xr:uid="{68DF3455-3EB9-453F-BC06-21628FD25830}"/>
    <cellStyle name="Įprastas 5 3 4 2 2 4" xfId="2906" xr:uid="{F56F6B6B-6DAD-4509-A895-B113BF2DB991}"/>
    <cellStyle name="Įprastas 5 3 4 2 2_8 priedas" xfId="1220" xr:uid="{00000000-0005-0000-0000-000042030000}"/>
    <cellStyle name="Įprastas 5 3 4 2 3" xfId="306" xr:uid="{00000000-0005-0000-0000-000043030000}"/>
    <cellStyle name="Įprastas 5 3 4 2 3 2" xfId="839" xr:uid="{00000000-0005-0000-0000-000044030000}"/>
    <cellStyle name="Įprastas 5 3 4 2 3 2 2" xfId="2154" xr:uid="{0F8A2D25-2F79-4A31-B92E-F304AE47B957}"/>
    <cellStyle name="Įprastas 5 3 4 2 3 2 3" xfId="3423" xr:uid="{765CA326-E65D-4B71-B9B1-672CEACB9AF2}"/>
    <cellStyle name="Įprastas 5 3 4 2 3 2_Lapas1" xfId="2153" xr:uid="{0D5B2B4F-B816-4812-8F87-FCF244854F9F}"/>
    <cellStyle name="Įprastas 5 3 4 2 3 3" xfId="2155" xr:uid="{FDFBEE9A-D61D-4A15-9C21-FD49B77B93A2}"/>
    <cellStyle name="Įprastas 5 3 4 2 3 4" xfId="2907" xr:uid="{BDE1B8C1-53B5-4C7D-9C53-59AB8E7DBB52}"/>
    <cellStyle name="Įprastas 5 3 4 2 3_8 priedas" xfId="1086" xr:uid="{00000000-0005-0000-0000-000045030000}"/>
    <cellStyle name="Įprastas 5 3 4 2 4" xfId="551" xr:uid="{00000000-0005-0000-0000-000046030000}"/>
    <cellStyle name="Įprastas 5 3 4 2 4 2" xfId="2157" xr:uid="{9F9BCB38-8695-4DE8-9738-D86CECA8D747}"/>
    <cellStyle name="Įprastas 5 3 4 2 4 3" xfId="3135" xr:uid="{8FA53F44-ADD2-4B03-92BB-2C995673A493}"/>
    <cellStyle name="Įprastas 5 3 4 2 4_Lapas1" xfId="2156" xr:uid="{A9776CBE-30E0-4B04-A026-D0948B61CF89}"/>
    <cellStyle name="Įprastas 5 3 4 2 5" xfId="2158" xr:uid="{E1567395-6228-47D5-8321-FDBD216699BD}"/>
    <cellStyle name="Įprastas 5 3 4 2 6" xfId="2905" xr:uid="{991C1D3A-AE94-4398-B047-07741A51A9D8}"/>
    <cellStyle name="Įprastas 5 3 4 2_8 priedas" xfId="974" xr:uid="{00000000-0005-0000-0000-000047030000}"/>
    <cellStyle name="Įprastas 5 3 4 3" xfId="307" xr:uid="{00000000-0005-0000-0000-000048030000}"/>
    <cellStyle name="Įprastas 5 3 4 3 2" xfId="308" xr:uid="{00000000-0005-0000-0000-000049030000}"/>
    <cellStyle name="Įprastas 5 3 4 3 2 2" xfId="743" xr:uid="{00000000-0005-0000-0000-00004A030000}"/>
    <cellStyle name="Įprastas 5 3 4 3 2 2 2" xfId="2160" xr:uid="{65D37342-847A-4B69-B563-EC2EF7B14549}"/>
    <cellStyle name="Įprastas 5 3 4 3 2 2 3" xfId="3327" xr:uid="{774141EB-51ED-4AC5-B29D-CCE26BA5C1CF}"/>
    <cellStyle name="Įprastas 5 3 4 3 2 2_Lapas1" xfId="2159" xr:uid="{986F0579-6112-4905-BE19-15B147863336}"/>
    <cellStyle name="Įprastas 5 3 4 3 2 3" xfId="2161" xr:uid="{76B48FC6-3DBC-4E60-BFA4-C3F8CBB5C101}"/>
    <cellStyle name="Įprastas 5 3 4 3 2 4" xfId="2909" xr:uid="{C4868565-D90C-48D3-B46D-0BB5C88F8927}"/>
    <cellStyle name="Įprastas 5 3 4 3 2_8 priedas" xfId="1174" xr:uid="{00000000-0005-0000-0000-00004B030000}"/>
    <cellStyle name="Įprastas 5 3 4 3 3" xfId="309" xr:uid="{00000000-0005-0000-0000-00004C030000}"/>
    <cellStyle name="Įprastas 5 3 4 3 3 2" xfId="887" xr:uid="{00000000-0005-0000-0000-00004D030000}"/>
    <cellStyle name="Įprastas 5 3 4 3 3 2 2" xfId="2163" xr:uid="{1E3F64F0-D1BE-4999-8513-BB31FD5DA95F}"/>
    <cellStyle name="Įprastas 5 3 4 3 3 2 3" xfId="3471" xr:uid="{2AE0F134-2F73-42A2-B4D8-9E37056B97C2}"/>
    <cellStyle name="Įprastas 5 3 4 3 3 2_Lapas1" xfId="2162" xr:uid="{A4DD762F-ED0D-478C-ABED-C94BD4FF0175}"/>
    <cellStyle name="Įprastas 5 3 4 3 3 3" xfId="2164" xr:uid="{A92B7AD4-FA3A-4721-A647-9B21F43A2891}"/>
    <cellStyle name="Įprastas 5 3 4 3 3 4" xfId="2910" xr:uid="{FD333B58-A381-4E36-89EE-6565D3DFEAC0}"/>
    <cellStyle name="Įprastas 5 3 4 3 3_8 priedas" xfId="1038" xr:uid="{00000000-0005-0000-0000-00004E030000}"/>
    <cellStyle name="Įprastas 5 3 4 3 4" xfId="599" xr:uid="{00000000-0005-0000-0000-00004F030000}"/>
    <cellStyle name="Įprastas 5 3 4 3 4 2" xfId="2166" xr:uid="{2667F236-BB6D-4251-8C66-95EF5E87A3C9}"/>
    <cellStyle name="Įprastas 5 3 4 3 4 3" xfId="3183" xr:uid="{694EB945-7B17-415F-A486-0C311AE3594B}"/>
    <cellStyle name="Įprastas 5 3 4 3 4_Lapas1" xfId="2165" xr:uid="{40DF2CDA-60D0-4219-AC70-8E30A957C095}"/>
    <cellStyle name="Įprastas 5 3 4 3 5" xfId="2167" xr:uid="{9267A7E0-3490-48F8-9F52-DD03513286E9}"/>
    <cellStyle name="Įprastas 5 3 4 3 6" xfId="2908" xr:uid="{93BA6146-8FAD-4E60-AAC8-D243E2F1C14D}"/>
    <cellStyle name="Įprastas 5 3 4 3_8 priedas" xfId="1311" xr:uid="{00000000-0005-0000-0000-000050030000}"/>
    <cellStyle name="Įprastas 5 3 4 4" xfId="310" xr:uid="{00000000-0005-0000-0000-000051030000}"/>
    <cellStyle name="Įprastas 5 3 4 4 2" xfId="647" xr:uid="{00000000-0005-0000-0000-000052030000}"/>
    <cellStyle name="Įprastas 5 3 4 4 2 2" xfId="2169" xr:uid="{0A516FFD-D796-4D8E-941B-44923A90A92E}"/>
    <cellStyle name="Įprastas 5 3 4 4 2 3" xfId="3231" xr:uid="{2E90C86E-541D-47BF-8652-AC5428212B6F}"/>
    <cellStyle name="Įprastas 5 3 4 4 2_Lapas1" xfId="2168" xr:uid="{CFA970DD-1D12-446F-A1D4-2E929E42F9F4}"/>
    <cellStyle name="Įprastas 5 3 4 4 3" xfId="2170" xr:uid="{2B04C9E8-B4C5-4618-8C98-825EE46B2FA8}"/>
    <cellStyle name="Įprastas 5 3 4 4 4" xfId="2911" xr:uid="{D0F821F6-9B78-4FDF-A00B-B9690E735E9F}"/>
    <cellStyle name="Įprastas 5 3 4 4_8 priedas" xfId="1262" xr:uid="{00000000-0005-0000-0000-000053030000}"/>
    <cellStyle name="Įprastas 5 3 4 5" xfId="311" xr:uid="{00000000-0005-0000-0000-000054030000}"/>
    <cellStyle name="Įprastas 5 3 4 5 2" xfId="791" xr:uid="{00000000-0005-0000-0000-000055030000}"/>
    <cellStyle name="Įprastas 5 3 4 5 2 2" xfId="2172" xr:uid="{FFAD9A62-004B-4359-B67B-E149A604A480}"/>
    <cellStyle name="Įprastas 5 3 4 5 2 3" xfId="3375" xr:uid="{84910510-A8C5-4302-A036-EE084A73B9F7}"/>
    <cellStyle name="Įprastas 5 3 4 5 2_Lapas1" xfId="2171" xr:uid="{7CFB15B0-DE18-4EFD-AAC2-2155CB1157E4}"/>
    <cellStyle name="Įprastas 5 3 4 5 3" xfId="2173" xr:uid="{93DF438F-D148-4EFA-97CA-0A77C3F01072}"/>
    <cellStyle name="Įprastas 5 3 4 5 4" xfId="2912" xr:uid="{D65DCC8F-2CD2-4D90-B453-254464DE2A6A}"/>
    <cellStyle name="Įprastas 5 3 4 5_8 priedas" xfId="1126" xr:uid="{00000000-0005-0000-0000-000056030000}"/>
    <cellStyle name="Įprastas 5 3 4 6" xfId="503" xr:uid="{00000000-0005-0000-0000-000057030000}"/>
    <cellStyle name="Įprastas 5 3 4 6 2" xfId="2175" xr:uid="{146FB969-6487-45F0-9B61-7DC9275D2D7A}"/>
    <cellStyle name="Įprastas 5 3 4 6 3" xfId="3087" xr:uid="{4D934460-D2AD-4CFA-8E4C-D944BC95C500}"/>
    <cellStyle name="Įprastas 5 3 4 6_Lapas1" xfId="2174" xr:uid="{A853BF5E-891E-4B0C-905E-4D3E99F94377}"/>
    <cellStyle name="Įprastas 5 3 4 7" xfId="2176" xr:uid="{66C8AE58-18BC-4625-990A-BDECF19DC85E}"/>
    <cellStyle name="Įprastas 5 3 4 8" xfId="2904" xr:uid="{C7C78655-1E3A-43C4-99FD-DE6E3F656C8C}"/>
    <cellStyle name="Įprastas 5 3 4_8 priedas" xfId="1110" xr:uid="{00000000-0005-0000-0000-000058030000}"/>
    <cellStyle name="Įprastas 5 3 5" xfId="312" xr:uid="{00000000-0005-0000-0000-000059030000}"/>
    <cellStyle name="Įprastas 5 3 5 2" xfId="313" xr:uid="{00000000-0005-0000-0000-00005A030000}"/>
    <cellStyle name="Įprastas 5 3 5 2 2" xfId="671" xr:uid="{00000000-0005-0000-0000-00005B030000}"/>
    <cellStyle name="Įprastas 5 3 5 2 2 2" xfId="2178" xr:uid="{1C6FD780-ECAF-4AD9-BD96-BB22924F0CA2}"/>
    <cellStyle name="Įprastas 5 3 5 2 2 3" xfId="3255" xr:uid="{FFDB62C0-0BC1-4866-97F4-5F1E709FCBAF}"/>
    <cellStyle name="Įprastas 5 3 5 2 2_Lapas1" xfId="2177" xr:uid="{6253AEAE-62DC-4D4E-AF30-67265DC7101C}"/>
    <cellStyle name="Įprastas 5 3 5 2 3" xfId="2179" xr:uid="{56FD5D35-99C9-4291-B9A3-F92742349C50}"/>
    <cellStyle name="Įprastas 5 3 5 2 4" xfId="2914" xr:uid="{CB84BFFF-7CCB-48FE-BB89-BE26617A59EB}"/>
    <cellStyle name="Įprastas 5 3 5 2_8 priedas" xfId="949" xr:uid="{00000000-0005-0000-0000-00005C030000}"/>
    <cellStyle name="Įprastas 5 3 5 3" xfId="314" xr:uid="{00000000-0005-0000-0000-00005D030000}"/>
    <cellStyle name="Įprastas 5 3 5 3 2" xfId="815" xr:uid="{00000000-0005-0000-0000-00005E030000}"/>
    <cellStyle name="Įprastas 5 3 5 3 2 2" xfId="2181" xr:uid="{3399FC3E-82A1-41B0-913D-F6463ED07575}"/>
    <cellStyle name="Įprastas 5 3 5 3 2 3" xfId="3399" xr:uid="{AA425A71-C3BB-4650-889C-C2996BAA0DD7}"/>
    <cellStyle name="Įprastas 5 3 5 3 2_Lapas1" xfId="2180" xr:uid="{1FEE19E3-3213-4AC3-9DF0-F1BD923D308A}"/>
    <cellStyle name="Įprastas 5 3 5 3 3" xfId="2182" xr:uid="{B9E69569-EFC7-4129-9078-0EDBE6170201}"/>
    <cellStyle name="Įprastas 5 3 5 3 4" xfId="2915" xr:uid="{901368C4-FF10-40FC-BCD5-096C4C3BED2A}"/>
    <cellStyle name="Įprastas 5 3 5 3_8 priedas" xfId="1208" xr:uid="{00000000-0005-0000-0000-00005F030000}"/>
    <cellStyle name="Įprastas 5 3 5 4" xfId="527" xr:uid="{00000000-0005-0000-0000-000060030000}"/>
    <cellStyle name="Įprastas 5 3 5 4 2" xfId="2184" xr:uid="{9DB4DE1D-5258-4650-8B42-524C2DF9AEBE}"/>
    <cellStyle name="Įprastas 5 3 5 4 3" xfId="3111" xr:uid="{0A6EE6A2-2116-4FFB-B099-9A3232482A28}"/>
    <cellStyle name="Įprastas 5 3 5 4_Lapas1" xfId="2183" xr:uid="{5FB7CA70-0533-46CA-A02A-92C482F78B99}"/>
    <cellStyle name="Įprastas 5 3 5 5" xfId="2185" xr:uid="{9FC8FC19-66A0-47F2-ABBE-1E3FBAE4A775}"/>
    <cellStyle name="Įprastas 5 3 5 6" xfId="2913" xr:uid="{1EB08942-B51B-4D31-BDF9-FB6F5BDF5CB9}"/>
    <cellStyle name="Įprastas 5 3 5_8 priedas" xfId="990" xr:uid="{00000000-0005-0000-0000-000061030000}"/>
    <cellStyle name="Įprastas 5 3 6" xfId="315" xr:uid="{00000000-0005-0000-0000-000062030000}"/>
    <cellStyle name="Įprastas 5 3 6 2" xfId="316" xr:uid="{00000000-0005-0000-0000-000063030000}"/>
    <cellStyle name="Įprastas 5 3 6 2 2" xfId="719" xr:uid="{00000000-0005-0000-0000-000064030000}"/>
    <cellStyle name="Įprastas 5 3 6 2 2 2" xfId="2187" xr:uid="{DDBC3BC2-1A7D-497F-8BE0-5A75B3D4A314}"/>
    <cellStyle name="Įprastas 5 3 6 2 2 3" xfId="3303" xr:uid="{425984A7-6034-46A5-BBCE-763DB5DB2DB6}"/>
    <cellStyle name="Įprastas 5 3 6 2 2_Lapas1" xfId="2186" xr:uid="{3C6583B7-C2E2-4647-9AD6-89CB8BD546CF}"/>
    <cellStyle name="Įprastas 5 3 6 2 3" xfId="2188" xr:uid="{00E7FC64-6767-4758-8A15-74FDA3CC898F}"/>
    <cellStyle name="Įprastas 5 3 6 2 4" xfId="2917" xr:uid="{83BF19D8-8954-4FA2-8DF8-9066B8A0BA28}"/>
    <cellStyle name="Įprastas 5 3 6 2_8 priedas" xfId="1299" xr:uid="{00000000-0005-0000-0000-000065030000}"/>
    <cellStyle name="Įprastas 5 3 6 3" xfId="317" xr:uid="{00000000-0005-0000-0000-000066030000}"/>
    <cellStyle name="Įprastas 5 3 6 3 2" xfId="863" xr:uid="{00000000-0005-0000-0000-000067030000}"/>
    <cellStyle name="Įprastas 5 3 6 3 2 2" xfId="2190" xr:uid="{E55432A7-B059-4EF3-80CB-BF13DBBC883F}"/>
    <cellStyle name="Įprastas 5 3 6 3 2 3" xfId="3447" xr:uid="{BC966504-0B35-43D3-A1EF-18E80D98206B}"/>
    <cellStyle name="Įprastas 5 3 6 3 2_Lapas1" xfId="2189" xr:uid="{D635322E-1ECD-4416-ABA9-1C1D4F9DE1ED}"/>
    <cellStyle name="Įprastas 5 3 6 3 3" xfId="2191" xr:uid="{BCA9ECD7-B40D-47F9-B9AD-F5435DFC8C1D}"/>
    <cellStyle name="Įprastas 5 3 6 3 4" xfId="2918" xr:uid="{3AEDA8BB-475B-473A-82D8-4ECF2EDF18A5}"/>
    <cellStyle name="Įprastas 5 3 6 3_8 priedas" xfId="1162" xr:uid="{00000000-0005-0000-0000-000068030000}"/>
    <cellStyle name="Įprastas 5 3 6 4" xfId="575" xr:uid="{00000000-0005-0000-0000-000069030000}"/>
    <cellStyle name="Įprastas 5 3 6 4 2" xfId="2193" xr:uid="{67A3B495-DC79-48D1-9CEB-592B58065498}"/>
    <cellStyle name="Įprastas 5 3 6 4 3" xfId="3159" xr:uid="{188264D8-AC6B-4C3F-B1E1-08AC386A4070}"/>
    <cellStyle name="Įprastas 5 3 6 4_Lapas1" xfId="2192" xr:uid="{1ACE9E5A-BB85-4877-9E00-6E435B8BD7AB}"/>
    <cellStyle name="Įprastas 5 3 6 5" xfId="2194" xr:uid="{6AE0117D-5FE2-4ABC-A501-33484DE7D2F6}"/>
    <cellStyle name="Įprastas 5 3 6 6" xfId="2916" xr:uid="{DD65BC91-3256-47C2-9628-B05581137E5D}"/>
    <cellStyle name="Įprastas 5 3 6_8 priedas" xfId="1074" xr:uid="{00000000-0005-0000-0000-00006A030000}"/>
    <cellStyle name="Įprastas 5 3 7" xfId="318" xr:uid="{00000000-0005-0000-0000-00006B030000}"/>
    <cellStyle name="Įprastas 5 3 7 2" xfId="623" xr:uid="{00000000-0005-0000-0000-00006C030000}"/>
    <cellStyle name="Įprastas 5 3 7 2 2" xfId="2196" xr:uid="{4951056A-D4AA-495C-AEF4-17A7F5FBCAEE}"/>
    <cellStyle name="Įprastas 5 3 7 2 3" xfId="3207" xr:uid="{75423D64-B1FB-4CB3-943A-9CF465796816}"/>
    <cellStyle name="Įprastas 5 3 7 2_Lapas1" xfId="2195" xr:uid="{8E1C8188-CA77-4195-93BB-A3F86A16E3D5}"/>
    <cellStyle name="Įprastas 5 3 7 3" xfId="2197" xr:uid="{7E2F95EE-5CE7-4B8D-82DD-746D79AACFD1}"/>
    <cellStyle name="Įprastas 5 3 7 4" xfId="2919" xr:uid="{064CD3D5-D25F-487D-9D59-4EE779FB6693}"/>
    <cellStyle name="Įprastas 5 3 7_8 priedas" xfId="1027" xr:uid="{00000000-0005-0000-0000-00006D030000}"/>
    <cellStyle name="Įprastas 5 3 8" xfId="319" xr:uid="{00000000-0005-0000-0000-00006E030000}"/>
    <cellStyle name="Įprastas 5 3 8 2" xfId="767" xr:uid="{00000000-0005-0000-0000-00006F030000}"/>
    <cellStyle name="Įprastas 5 3 8 2 2" xfId="2199" xr:uid="{C551960B-FCB1-4533-830D-A8EA58414351}"/>
    <cellStyle name="Įprastas 5 3 8 2 3" xfId="3351" xr:uid="{145E5962-0E2B-4817-9515-01D875E71775}"/>
    <cellStyle name="Įprastas 5 3 8 2_Lapas1" xfId="2198" xr:uid="{8E6B0EA2-CD34-4E01-B693-F82830761EBB}"/>
    <cellStyle name="Įprastas 5 3 8 3" xfId="2200" xr:uid="{FA2BCBDA-E179-464F-9006-EEDEC430B71C}"/>
    <cellStyle name="Įprastas 5 3 8 4" xfId="2920" xr:uid="{CE610983-98C8-423C-BB4C-AFCC4E5E55CD}"/>
    <cellStyle name="Įprastas 5 3 8_8 priedas" xfId="1252" xr:uid="{00000000-0005-0000-0000-000070030000}"/>
    <cellStyle name="Įprastas 5 3 9" xfId="479" xr:uid="{00000000-0005-0000-0000-000071030000}"/>
    <cellStyle name="Įprastas 5 3 9 2" xfId="2202" xr:uid="{68043772-EF93-4BEC-A8D2-BF25D6E6FDEC}"/>
    <cellStyle name="Įprastas 5 3 9 3" xfId="3063" xr:uid="{3BBD0AEB-D425-4CF9-8E69-B3A0D9F09FCD}"/>
    <cellStyle name="Įprastas 5 3 9_Lapas1" xfId="2201" xr:uid="{B94D79F2-6ABC-455A-BA48-53BCFB5BFDEF}"/>
    <cellStyle name="Įprastas 5 3_8 priedas" xfId="30" xr:uid="{00000000-0005-0000-0000-000072030000}"/>
    <cellStyle name="Įprastas 5 4" xfId="18" xr:uid="{00000000-0005-0000-0000-000073030000}"/>
    <cellStyle name="Įprastas 5 4 10" xfId="2203" xr:uid="{E6BB58D4-6958-4B1F-B8DD-A0D0CD03EE1C}"/>
    <cellStyle name="Įprastas 5 4 11" xfId="2632" xr:uid="{70747270-4AED-447A-9324-5DC17748D65D}"/>
    <cellStyle name="Įprastas 5 4 2" xfId="26" xr:uid="{00000000-0005-0000-0000-000074030000}"/>
    <cellStyle name="Įprastas 5 4 2 10" xfId="2637" xr:uid="{BFE8665F-CCE3-49CD-821B-F47794872E67}"/>
    <cellStyle name="Įprastas 5 4 2 2" xfId="321" xr:uid="{00000000-0005-0000-0000-000075030000}"/>
    <cellStyle name="Įprastas 5 4 2 2 2" xfId="322" xr:uid="{00000000-0005-0000-0000-000076030000}"/>
    <cellStyle name="Įprastas 5 4 2 2 2 2" xfId="323" xr:uid="{00000000-0005-0000-0000-000077030000}"/>
    <cellStyle name="Įprastas 5 4 2 2 2 2 2" xfId="324" xr:uid="{00000000-0005-0000-0000-000078030000}"/>
    <cellStyle name="Įprastas 5 4 2 2 2 2 2 2" xfId="713" xr:uid="{00000000-0005-0000-0000-000079030000}"/>
    <cellStyle name="Įprastas 5 4 2 2 2 2 2 2 2" xfId="2205" xr:uid="{905D8DFA-9D3F-4B7C-BD65-FFE437FAA8E7}"/>
    <cellStyle name="Įprastas 5 4 2 2 2 2 2 2 3" xfId="3297" xr:uid="{92FC641D-17ED-4F82-9D0D-81A3A33383E6}"/>
    <cellStyle name="Įprastas 5 4 2 2 2 2 2 2_Lapas1" xfId="2204" xr:uid="{3A4198C7-8641-4D4C-8971-0022F518D82A}"/>
    <cellStyle name="Įprastas 5 4 2 2 2 2 2 3" xfId="2206" xr:uid="{13335E3A-FCD9-4D6B-9F3B-2EDF1067BA75}"/>
    <cellStyle name="Įprastas 5 4 2 2 2 2 2 4" xfId="2924" xr:uid="{B8E77C24-B17C-4315-B00F-8A80B2A5842C}"/>
    <cellStyle name="Įprastas 5 4 2 2 2 2 2_8 priedas" xfId="1050" xr:uid="{00000000-0005-0000-0000-00007A030000}"/>
    <cellStyle name="Įprastas 5 4 2 2 2 2 3" xfId="325" xr:uid="{00000000-0005-0000-0000-00007B030000}"/>
    <cellStyle name="Įprastas 5 4 2 2 2 2 3 2" xfId="857" xr:uid="{00000000-0005-0000-0000-00007C030000}"/>
    <cellStyle name="Įprastas 5 4 2 2 2 2 3 2 2" xfId="2208" xr:uid="{A4489A5D-79BF-4C7A-8039-238886952A81}"/>
    <cellStyle name="Įprastas 5 4 2 2 2 2 3 2 3" xfId="3441" xr:uid="{89F9864E-0971-4E4C-976F-DC86B7A6D017}"/>
    <cellStyle name="Įprastas 5 4 2 2 2 2 3 2_Lapas1" xfId="2207" xr:uid="{CEFFE709-5DC1-4CC9-861E-BEF15E51D0AA}"/>
    <cellStyle name="Įprastas 5 4 2 2 2 2 3 3" xfId="2209" xr:uid="{F2199324-C8B2-4EE7-BA10-E06031B2AAD2}"/>
    <cellStyle name="Įprastas 5 4 2 2 2 2 3 4" xfId="2925" xr:uid="{65B7125E-7B72-447C-BA40-C1F990C3C829}"/>
    <cellStyle name="Įprastas 5 4 2 2 2 2 3_8 priedas" xfId="1274" xr:uid="{00000000-0005-0000-0000-00007D030000}"/>
    <cellStyle name="Įprastas 5 4 2 2 2 2 4" xfId="569" xr:uid="{00000000-0005-0000-0000-00007E030000}"/>
    <cellStyle name="Įprastas 5 4 2 2 2 2 4 2" xfId="2211" xr:uid="{204FD012-868A-482E-A104-2364E4542509}"/>
    <cellStyle name="Įprastas 5 4 2 2 2 2 4 3" xfId="3153" xr:uid="{E3574EBA-1479-43B8-B640-8CB2C78534A2}"/>
    <cellStyle name="Įprastas 5 4 2 2 2 2 4_Lapas1" xfId="2210" xr:uid="{FD64735D-1E58-4E94-B53B-5C09160E61C4}"/>
    <cellStyle name="Įprastas 5 4 2 2 2 2 5" xfId="2212" xr:uid="{C2EED52C-3AB4-43D0-B4C3-F0C0A7809D75}"/>
    <cellStyle name="Įprastas 5 4 2 2 2 2 6" xfId="2923" xr:uid="{E8A689AA-5FD5-46FF-97D8-1651A7862D41}"/>
    <cellStyle name="Įprastas 5 4 2 2 2 2_8 priedas" xfId="1186" xr:uid="{00000000-0005-0000-0000-00007F030000}"/>
    <cellStyle name="Įprastas 5 4 2 2 2 3" xfId="326" xr:uid="{00000000-0005-0000-0000-000080030000}"/>
    <cellStyle name="Įprastas 5 4 2 2 2 3 2" xfId="327" xr:uid="{00000000-0005-0000-0000-000081030000}"/>
    <cellStyle name="Įprastas 5 4 2 2 2 3 2 2" xfId="761" xr:uid="{00000000-0005-0000-0000-000082030000}"/>
    <cellStyle name="Įprastas 5 4 2 2 2 3 2 2 2" xfId="2214" xr:uid="{AFBD9530-ADD4-4702-841B-5BCB42739DD1}"/>
    <cellStyle name="Įprastas 5 4 2 2 2 3 2 2 3" xfId="3345" xr:uid="{73A503BD-2FE2-4550-B5AF-3D1A28110181}"/>
    <cellStyle name="Įprastas 5 4 2 2 2 3 2 2_Lapas1" xfId="2213" xr:uid="{160FCC7A-C5FC-4289-815D-1655BA6D9FD5}"/>
    <cellStyle name="Įprastas 5 4 2 2 2 3 2 3" xfId="2215" xr:uid="{3C27BEE0-46CD-4DA6-8484-F694BE10CE15}"/>
    <cellStyle name="Įprastas 5 4 2 2 2 3 2 4" xfId="2927" xr:uid="{336B6548-80BC-4C71-94B0-900DFA3C0A3B}"/>
    <cellStyle name="Įprastas 5 4 2 2 2 3 2_8 priedas" xfId="1002" xr:uid="{00000000-0005-0000-0000-000083030000}"/>
    <cellStyle name="Įprastas 5 4 2 2 2 3 3" xfId="328" xr:uid="{00000000-0005-0000-0000-000084030000}"/>
    <cellStyle name="Įprastas 5 4 2 2 2 3 3 2" xfId="905" xr:uid="{00000000-0005-0000-0000-000085030000}"/>
    <cellStyle name="Įprastas 5 4 2 2 2 3 3 2 2" xfId="2217" xr:uid="{C8240826-87A3-4D7C-A8D9-D8EF4C2BBAFA}"/>
    <cellStyle name="Įprastas 5 4 2 2 2 3 3 2 3" xfId="3489" xr:uid="{351C5D77-1B7B-4A7C-A014-FEEAEF66206D}"/>
    <cellStyle name="Įprastas 5 4 2 2 2 3 3 2_Lapas1" xfId="2216" xr:uid="{484724C9-496A-48F9-A12B-32467BC137BC}"/>
    <cellStyle name="Įprastas 5 4 2 2 2 3 3 3" xfId="2218" xr:uid="{AE3DE86C-B32F-4C39-B5F0-D5DF7F852C00}"/>
    <cellStyle name="Įprastas 5 4 2 2 2 3 3 4" xfId="2928" xr:uid="{94425381-EE47-485D-B799-5B68F4BE1A9D}"/>
    <cellStyle name="Įprastas 5 4 2 2 2 3 3_8 priedas" xfId="961" xr:uid="{00000000-0005-0000-0000-000086030000}"/>
    <cellStyle name="Įprastas 5 4 2 2 2 3 4" xfId="617" xr:uid="{00000000-0005-0000-0000-000087030000}"/>
    <cellStyle name="Įprastas 5 4 2 2 2 3 4 2" xfId="2220" xr:uid="{62840E65-9359-41F3-A281-74F816BAAACE}"/>
    <cellStyle name="Įprastas 5 4 2 2 2 3 4 3" xfId="3201" xr:uid="{25A19821-6298-4CD7-8F5B-76640C6C5C3A}"/>
    <cellStyle name="Įprastas 5 4 2 2 2 3 4_Lapas1" xfId="2219" xr:uid="{AC2EF7C7-6448-4738-AE92-3D7E8AB10559}"/>
    <cellStyle name="Įprastas 5 4 2 2 2 3 5" xfId="2221" xr:uid="{A439B07B-18F8-405E-BDBA-0CA4E36C0965}"/>
    <cellStyle name="Įprastas 5 4 2 2 2 3 6" xfId="2926" xr:uid="{4C4E5891-0DEB-4ACC-8BF2-AA76254CBCE6}"/>
    <cellStyle name="Įprastas 5 4 2 2 2 3_8 priedas" xfId="1138" xr:uid="{00000000-0005-0000-0000-000088030000}"/>
    <cellStyle name="Įprastas 5 4 2 2 2 4" xfId="329" xr:uid="{00000000-0005-0000-0000-000089030000}"/>
    <cellStyle name="Įprastas 5 4 2 2 2 4 2" xfId="665" xr:uid="{00000000-0005-0000-0000-00008A030000}"/>
    <cellStyle name="Įprastas 5 4 2 2 2 4 2 2" xfId="2223" xr:uid="{3ABE1E5B-6CEA-4F63-81D3-FC65FA637CF6}"/>
    <cellStyle name="Įprastas 5 4 2 2 2 4 2 3" xfId="3249" xr:uid="{8D4D4C38-364B-49BD-86AE-9F145C2452D6}"/>
    <cellStyle name="Įprastas 5 4 2 2 2 4 2_Lapas1" xfId="2222" xr:uid="{CEE84313-7806-48C2-B195-EC6441B8CB21}"/>
    <cellStyle name="Įprastas 5 4 2 2 2 4 3" xfId="2224" xr:uid="{72415261-F8CC-4D67-9359-444001511CDA}"/>
    <cellStyle name="Įprastas 5 4 2 2 2 4 4" xfId="2929" xr:uid="{363AEAAA-7B15-44B7-B8AE-BA9DDB1A019A}"/>
    <cellStyle name="Įprastas 5 4 2 2 2 4_8 priedas" xfId="932" xr:uid="{00000000-0005-0000-0000-00008B030000}"/>
    <cellStyle name="Įprastas 5 4 2 2 2 5" xfId="330" xr:uid="{00000000-0005-0000-0000-00008C030000}"/>
    <cellStyle name="Įprastas 5 4 2 2 2 5 2" xfId="809" xr:uid="{00000000-0005-0000-0000-00008D030000}"/>
    <cellStyle name="Įprastas 5 4 2 2 2 5 2 2" xfId="2226" xr:uid="{CB630F45-E075-4EE7-8CCF-BA7DBFCD39BD}"/>
    <cellStyle name="Įprastas 5 4 2 2 2 5 2 3" xfId="3393" xr:uid="{EA859F05-477D-4CE4-B0E9-BC90C9F640C8}"/>
    <cellStyle name="Įprastas 5 4 2 2 2 5 2_Lapas1" xfId="2225" xr:uid="{68BFB0E3-EDD9-4C77-A1CE-CCC3BC3E781F}"/>
    <cellStyle name="Įprastas 5 4 2 2 2 5 3" xfId="2227" xr:uid="{07765698-29C1-4E87-A483-596711212793}"/>
    <cellStyle name="Įprastas 5 4 2 2 2 5 4" xfId="2930" xr:uid="{906F9F22-6803-48E6-8B61-8FDF1AE68F7D}"/>
    <cellStyle name="Įprastas 5 4 2 2 2 5_8 priedas" xfId="915" xr:uid="{00000000-0005-0000-0000-00008E030000}"/>
    <cellStyle name="Įprastas 5 4 2 2 2 6" xfId="521" xr:uid="{00000000-0005-0000-0000-00008F030000}"/>
    <cellStyle name="Įprastas 5 4 2 2 2 6 2" xfId="2229" xr:uid="{1A9AAFFC-6D06-4A13-B09D-A29BD44A2FEC}"/>
    <cellStyle name="Įprastas 5 4 2 2 2 6 3" xfId="3105" xr:uid="{096E7FD0-99F4-4F82-BC2A-BB527D89CD7A}"/>
    <cellStyle name="Įprastas 5 4 2 2 2 6_Lapas1" xfId="2228" xr:uid="{5E3BD291-7A41-4DA1-8114-C5FDEC49F8BA}"/>
    <cellStyle name="Įprastas 5 4 2 2 2 7" xfId="2230" xr:uid="{4B2886A8-9140-466E-B5F3-ADC508DC0E96}"/>
    <cellStyle name="Įprastas 5 4 2 2 2 8" xfId="2922" xr:uid="{B42A48C6-D558-4A14-925A-0AA400C86447}"/>
    <cellStyle name="Įprastas 5 4 2 2 2_8 priedas" xfId="1323" xr:uid="{00000000-0005-0000-0000-000090030000}"/>
    <cellStyle name="Įprastas 5 4 2 2 3" xfId="331" xr:uid="{00000000-0005-0000-0000-000091030000}"/>
    <cellStyle name="Įprastas 5 4 2 2 3 2" xfId="332" xr:uid="{00000000-0005-0000-0000-000092030000}"/>
    <cellStyle name="Įprastas 5 4 2 2 3 2 2" xfId="689" xr:uid="{00000000-0005-0000-0000-000093030000}"/>
    <cellStyle name="Įprastas 5 4 2 2 3 2 2 2" xfId="2232" xr:uid="{A6BA63D8-ED21-42DF-8365-CC1D58CC21DC}"/>
    <cellStyle name="Įprastas 5 4 2 2 3 2 2 3" xfId="3273" xr:uid="{C79F6813-21BE-45FE-9EF7-6DF15737B97F}"/>
    <cellStyle name="Įprastas 5 4 2 2 3 2 2_Lapas1" xfId="2231" xr:uid="{391C0F65-F485-461E-8DA4-71410E3A29F2}"/>
    <cellStyle name="Įprastas 5 4 2 2 3 2 3" xfId="2233" xr:uid="{96222577-570C-48F1-83A5-83E7425A8013}"/>
    <cellStyle name="Įprastas 5 4 2 2 3 2 4" xfId="2932" xr:uid="{95D05682-69D3-44A2-B5D0-822EA3EEFB1C}"/>
    <cellStyle name="Įprastas 5 4 2 2 3 2_8 priedas" xfId="1191" xr:uid="{00000000-0005-0000-0000-000094030000}"/>
    <cellStyle name="Įprastas 5 4 2 2 3 3" xfId="333" xr:uid="{00000000-0005-0000-0000-000095030000}"/>
    <cellStyle name="Įprastas 5 4 2 2 3 3 2" xfId="833" xr:uid="{00000000-0005-0000-0000-000096030000}"/>
    <cellStyle name="Įprastas 5 4 2 2 3 3 2 2" xfId="2235" xr:uid="{E9884E3F-C34D-407C-B962-1473D7E6C9D3}"/>
    <cellStyle name="Įprastas 5 4 2 2 3 3 2 3" xfId="3417" xr:uid="{161B9DEA-8F35-4E3C-BA70-001C028E5368}"/>
    <cellStyle name="Įprastas 5 4 2 2 3 3 2_Lapas1" xfId="2234" xr:uid="{FD03C167-22C8-4194-A036-DF98946A87FA}"/>
    <cellStyle name="Įprastas 5 4 2 2 3 3 3" xfId="2236" xr:uid="{CBA2D39D-D569-477F-8EBC-BB32D3BC9B12}"/>
    <cellStyle name="Įprastas 5 4 2 2 3 3 4" xfId="2933" xr:uid="{5FD1F962-259B-4E6F-9075-5DBC4CDCBB4D}"/>
    <cellStyle name="Įprastas 5 4 2 2 3 3_8 priedas" xfId="1056" xr:uid="{00000000-0005-0000-0000-000097030000}"/>
    <cellStyle name="Įprastas 5 4 2 2 3 4" xfId="545" xr:uid="{00000000-0005-0000-0000-000098030000}"/>
    <cellStyle name="Įprastas 5 4 2 2 3 4 2" xfId="2238" xr:uid="{1B7B0F17-E1BB-4BFA-8891-B69208F877CD}"/>
    <cellStyle name="Įprastas 5 4 2 2 3 4 3" xfId="3129" xr:uid="{D107F8FF-4A71-4703-9AB3-602B93F7C8BF}"/>
    <cellStyle name="Įprastas 5 4 2 2 3 4_Lapas1" xfId="2237" xr:uid="{B96BFFB8-F6A7-4E91-9AF3-3535D82C8602}"/>
    <cellStyle name="Įprastas 5 4 2 2 3 5" xfId="2239" xr:uid="{DB4CD3DA-A082-4E35-B126-6429152545DE}"/>
    <cellStyle name="Įprastas 5 4 2 2 3 6" xfId="2931" xr:uid="{BB1FEC73-CAEF-4919-BA8F-0535BF260C73}"/>
    <cellStyle name="Įprastas 5 4 2 2 3_8 priedas" xfId="920" xr:uid="{00000000-0005-0000-0000-000099030000}"/>
    <cellStyle name="Įprastas 5 4 2 2 4" xfId="334" xr:uid="{00000000-0005-0000-0000-00009A030000}"/>
    <cellStyle name="Įprastas 5 4 2 2 4 2" xfId="335" xr:uid="{00000000-0005-0000-0000-00009B030000}"/>
    <cellStyle name="Įprastas 5 4 2 2 4 2 2" xfId="737" xr:uid="{00000000-0005-0000-0000-00009C030000}"/>
    <cellStyle name="Įprastas 5 4 2 2 4 2 2 2" xfId="2241" xr:uid="{FA525142-56CB-47B4-A726-2125247F5959}"/>
    <cellStyle name="Įprastas 5 4 2 2 4 2 2 3" xfId="3321" xr:uid="{74ABC868-2171-42FB-B060-90D53D5630FB}"/>
    <cellStyle name="Įprastas 5 4 2 2 4 2 2_Lapas1" xfId="2240" xr:uid="{9EEC67F6-78FA-4941-9114-2942FA54AF67}"/>
    <cellStyle name="Įprastas 5 4 2 2 4 2 3" xfId="2242" xr:uid="{6F10323D-9561-4C31-A215-7E4FA4EE82EC}"/>
    <cellStyle name="Įprastas 5 4 2 2 4 2 4" xfId="2935" xr:uid="{4039EC2B-53A2-4EE9-AACC-17AE047799BD}"/>
    <cellStyle name="Įprastas 5 4 2 2 4 2_8 priedas" xfId="1145" xr:uid="{00000000-0005-0000-0000-00009D030000}"/>
    <cellStyle name="Įprastas 5 4 2 2 4 3" xfId="336" xr:uid="{00000000-0005-0000-0000-00009E030000}"/>
    <cellStyle name="Įprastas 5 4 2 2 4 3 2" xfId="881" xr:uid="{00000000-0005-0000-0000-00009F030000}"/>
    <cellStyle name="Įprastas 5 4 2 2 4 3 2 2" xfId="2244" xr:uid="{0E69DABA-E842-4BB6-B6F6-F249163D38A2}"/>
    <cellStyle name="Įprastas 5 4 2 2 4 3 2 3" xfId="3465" xr:uid="{40A0482F-E97F-493C-BBE9-C5F302E7F267}"/>
    <cellStyle name="Įprastas 5 4 2 2 4 3 2_Lapas1" xfId="2243" xr:uid="{DFBA6C3E-EEBC-4524-97D2-5274A282CB59}"/>
    <cellStyle name="Įprastas 5 4 2 2 4 3 3" xfId="2245" xr:uid="{BDDD89B4-008F-4E98-8D00-2812D475FDAD}"/>
    <cellStyle name="Įprastas 5 4 2 2 4 3 4" xfId="2936" xr:uid="{65A1C5F1-F5AB-4317-9F68-366F9B0CE896}"/>
    <cellStyle name="Įprastas 5 4 2 2 4 3_8 priedas" xfId="1009" xr:uid="{00000000-0005-0000-0000-0000A0030000}"/>
    <cellStyle name="Įprastas 5 4 2 2 4 4" xfId="593" xr:uid="{00000000-0005-0000-0000-0000A1030000}"/>
    <cellStyle name="Įprastas 5 4 2 2 4 4 2" xfId="2247" xr:uid="{3393DCA2-CA1D-440D-86C0-0CD48DCCC61F}"/>
    <cellStyle name="Įprastas 5 4 2 2 4 4 3" xfId="3177" xr:uid="{A5FDA1E7-4C4A-4D12-8F27-DB47C910F4A4}"/>
    <cellStyle name="Įprastas 5 4 2 2 4 4_Lapas1" xfId="2246" xr:uid="{3711A18A-9C9D-40DE-8315-3806D581D8E4}"/>
    <cellStyle name="Įprastas 5 4 2 2 4 5" xfId="2248" xr:uid="{605E067F-5001-456E-9D3E-10AD1032F0EB}"/>
    <cellStyle name="Įprastas 5 4 2 2 4 6" xfId="2934" xr:uid="{3CC1E1CF-0DCD-4372-BAE6-A02882CEE932}"/>
    <cellStyle name="Įprastas 5 4 2 2 4_8 priedas" xfId="1281" xr:uid="{00000000-0005-0000-0000-0000A2030000}"/>
    <cellStyle name="Įprastas 5 4 2 2 5" xfId="337" xr:uid="{00000000-0005-0000-0000-0000A3030000}"/>
    <cellStyle name="Įprastas 5 4 2 2 5 2" xfId="641" xr:uid="{00000000-0005-0000-0000-0000A4030000}"/>
    <cellStyle name="Įprastas 5 4 2 2 5 2 2" xfId="2250" xr:uid="{FE63DB16-FA78-45F9-8163-17FA1ACAF30A}"/>
    <cellStyle name="Įprastas 5 4 2 2 5 2 3" xfId="3225" xr:uid="{26A5462B-243B-470A-B205-E674424E7F74}"/>
    <cellStyle name="Įprastas 5 4 2 2 5 2_Lapas1" xfId="2249" xr:uid="{A57B130E-C5B4-4D71-81FF-F2733CEAFC98}"/>
    <cellStyle name="Įprastas 5 4 2 2 5 3" xfId="2251" xr:uid="{65D5DBF8-6C85-44E1-BA57-3B03FC2A2E31}"/>
    <cellStyle name="Įprastas 5 4 2 2 5 4" xfId="2937" xr:uid="{F2BB4CA8-8871-4BAF-8FFC-565A3F80C27E}"/>
    <cellStyle name="Įprastas 5 4 2 2 5_8 priedas" xfId="1235" xr:uid="{00000000-0005-0000-0000-0000A5030000}"/>
    <cellStyle name="Įprastas 5 4 2 2 6" xfId="338" xr:uid="{00000000-0005-0000-0000-0000A6030000}"/>
    <cellStyle name="Įprastas 5 4 2 2 6 2" xfId="785" xr:uid="{00000000-0005-0000-0000-0000A7030000}"/>
    <cellStyle name="Įprastas 5 4 2 2 6 2 2" xfId="2253" xr:uid="{7E466951-68AB-48F2-8FD2-A6D05062DA65}"/>
    <cellStyle name="Įprastas 5 4 2 2 6 2 3" xfId="3369" xr:uid="{3F69A034-6B68-41F8-B3BA-33B64C50B783}"/>
    <cellStyle name="Įprastas 5 4 2 2 6 2_Lapas1" xfId="2252" xr:uid="{3A69B539-1F7F-45A6-AECB-487E2C7246A5}"/>
    <cellStyle name="Įprastas 5 4 2 2 6 3" xfId="2254" xr:uid="{BC9BBC4D-0F22-4370-8E3B-1E7358A4CF5C}"/>
    <cellStyle name="Įprastas 5 4 2 2 6 4" xfId="2938" xr:uid="{BBA01659-847A-4717-A0CE-A9FDF232F34F}"/>
    <cellStyle name="Įprastas 5 4 2 2 6_8 priedas" xfId="1105" xr:uid="{00000000-0005-0000-0000-0000A8030000}"/>
    <cellStyle name="Įprastas 5 4 2 2 7" xfId="497" xr:uid="{00000000-0005-0000-0000-0000A9030000}"/>
    <cellStyle name="Įprastas 5 4 2 2 7 2" xfId="2256" xr:uid="{75816328-47F3-4570-88E3-096D5B67744C}"/>
    <cellStyle name="Įprastas 5 4 2 2 7 3" xfId="3081" xr:uid="{2945DF0D-8F40-4335-B167-24D1D14B2326}"/>
    <cellStyle name="Įprastas 5 4 2 2 7_Lapas1" xfId="2255" xr:uid="{02CDC222-F2F6-4334-B8DF-EE702D099F55}"/>
    <cellStyle name="Įprastas 5 4 2 2 8" xfId="2257" xr:uid="{87EA4619-4A11-43BB-8A8E-EEAFEC73C2BD}"/>
    <cellStyle name="Įprastas 5 4 2 2 9" xfId="2921" xr:uid="{FA525A51-602A-46FE-861E-5B41D739C222}"/>
    <cellStyle name="Įprastas 5 4 2 2_8 priedas" xfId="1098" xr:uid="{00000000-0005-0000-0000-0000AA030000}"/>
    <cellStyle name="Įprastas 5 4 2 3" xfId="339" xr:uid="{00000000-0005-0000-0000-0000AB030000}"/>
    <cellStyle name="Įprastas 5 4 2 3 2" xfId="340" xr:uid="{00000000-0005-0000-0000-0000AC030000}"/>
    <cellStyle name="Įprastas 5 4 2 3 2 2" xfId="341" xr:uid="{00000000-0005-0000-0000-0000AD030000}"/>
    <cellStyle name="Įprastas 5 4 2 3 2 2 2" xfId="701" xr:uid="{00000000-0005-0000-0000-0000AE030000}"/>
    <cellStyle name="Įprastas 5 4 2 3 2 2 2 2" xfId="2259" xr:uid="{D50ED631-4721-453D-ABBC-DDC32D260299}"/>
    <cellStyle name="Įprastas 5 4 2 3 2 2 2 3" xfId="3285" xr:uid="{CBF54779-03CD-4282-A716-1BDA8EC734BD}"/>
    <cellStyle name="Įprastas 5 4 2 3 2 2 2_Lapas1" xfId="2258" xr:uid="{867E872B-FF37-4669-847A-BA0726DA3AAB}"/>
    <cellStyle name="Įprastas 5 4 2 3 2 2 3" xfId="2260" xr:uid="{1242F9E4-3A8D-4014-8197-0A6001B91532}"/>
    <cellStyle name="Įprastas 5 4 2 3 2 2 4" xfId="2941" xr:uid="{7873C49F-1E43-4F3C-88EC-EC9699C3F6E9}"/>
    <cellStyle name="Įprastas 5 4 2 3 2 2_8 priedas" xfId="1082" xr:uid="{00000000-0005-0000-0000-0000AF030000}"/>
    <cellStyle name="Įprastas 5 4 2 3 2 3" xfId="342" xr:uid="{00000000-0005-0000-0000-0000B0030000}"/>
    <cellStyle name="Įprastas 5 4 2 3 2 3 2" xfId="845" xr:uid="{00000000-0005-0000-0000-0000B1030000}"/>
    <cellStyle name="Įprastas 5 4 2 3 2 3 2 2" xfId="2262" xr:uid="{27A42B52-DE39-492F-B6E6-E00CC8479652}"/>
    <cellStyle name="Įprastas 5 4 2 3 2 3 2 3" xfId="3429" xr:uid="{FCBD11B5-0B02-47CD-B245-B1EE4997FCB1}"/>
    <cellStyle name="Įprastas 5 4 2 3 2 3 2_Lapas1" xfId="2261" xr:uid="{62B0028E-250F-45C7-873B-69A8A918E0F7}"/>
    <cellStyle name="Įprastas 5 4 2 3 2 3 3" xfId="2263" xr:uid="{77AFC026-726B-42D0-BB58-C778DF231967}"/>
    <cellStyle name="Įprastas 5 4 2 3 2 3 4" xfId="2942" xr:uid="{FF6A788B-AC36-4D0D-870F-FB349F4FC73C}"/>
    <cellStyle name="Įprastas 5 4 2 3 2 3_8 priedas" xfId="1307" xr:uid="{00000000-0005-0000-0000-0000B2030000}"/>
    <cellStyle name="Įprastas 5 4 2 3 2 4" xfId="557" xr:uid="{00000000-0005-0000-0000-0000B3030000}"/>
    <cellStyle name="Įprastas 5 4 2 3 2 4 2" xfId="2265" xr:uid="{A76FFE6A-4945-4E90-B7ED-CF144CF223BE}"/>
    <cellStyle name="Įprastas 5 4 2 3 2 4 3" xfId="3141" xr:uid="{AD2C135E-8928-484E-894A-2350FDF5A3F8}"/>
    <cellStyle name="Įprastas 5 4 2 3 2 4_Lapas1" xfId="2264" xr:uid="{5EF9E9DD-4A18-48A7-A8F3-07B58BA78FA4}"/>
    <cellStyle name="Įprastas 5 4 2 3 2 5" xfId="2266" xr:uid="{5B8CF805-48BA-44BB-AE1D-05DD56DBAD4D}"/>
    <cellStyle name="Įprastas 5 4 2 3 2 6" xfId="2940" xr:uid="{C8D1A8C8-DF0C-4307-BD26-3422A0185973}"/>
    <cellStyle name="Įprastas 5 4 2 3 2_8 priedas" xfId="1216" xr:uid="{00000000-0005-0000-0000-0000B4030000}"/>
    <cellStyle name="Įprastas 5 4 2 3 3" xfId="343" xr:uid="{00000000-0005-0000-0000-0000B5030000}"/>
    <cellStyle name="Įprastas 5 4 2 3 3 2" xfId="344" xr:uid="{00000000-0005-0000-0000-0000B6030000}"/>
    <cellStyle name="Įprastas 5 4 2 3 3 2 2" xfId="749" xr:uid="{00000000-0005-0000-0000-0000B7030000}"/>
    <cellStyle name="Įprastas 5 4 2 3 3 2 2 2" xfId="2268" xr:uid="{A8470204-4F7D-4DE7-8084-4D1AFBC4B80E}"/>
    <cellStyle name="Įprastas 5 4 2 3 3 2 2 3" xfId="3333" xr:uid="{10C6F4BA-6242-47FA-BACD-F77AE6C2C0D5}"/>
    <cellStyle name="Įprastas 5 4 2 3 3 2 2_Lapas1" xfId="2267" xr:uid="{F7AE00E3-0E38-4718-9CD5-2A4A1122D99F}"/>
    <cellStyle name="Įprastas 5 4 2 3 3 2 3" xfId="2269" xr:uid="{151BB652-AB96-4E98-9153-855050B99CB4}"/>
    <cellStyle name="Įprastas 5 4 2 3 3 2 4" xfId="2944" xr:uid="{43C8A6E3-71D7-40A0-883F-273753BDBD16}"/>
    <cellStyle name="Įprastas 5 4 2 3 3 2_8 priedas" xfId="1034" xr:uid="{00000000-0005-0000-0000-0000B8030000}"/>
    <cellStyle name="Įprastas 5 4 2 3 3 3" xfId="345" xr:uid="{00000000-0005-0000-0000-0000B9030000}"/>
    <cellStyle name="Įprastas 5 4 2 3 3 3 2" xfId="893" xr:uid="{00000000-0005-0000-0000-0000BA030000}"/>
    <cellStyle name="Įprastas 5 4 2 3 3 3 2 2" xfId="2271" xr:uid="{AD13B936-A76D-4901-9464-9F9553600E7E}"/>
    <cellStyle name="Įprastas 5 4 2 3 3 3 2 3" xfId="3477" xr:uid="{077D461F-D72B-406F-B4C0-7B9AAA228DC0}"/>
    <cellStyle name="Įprastas 5 4 2 3 3 3 2_Lapas1" xfId="2270" xr:uid="{08DAD509-F638-4252-A8C7-7F8794C7D8B0}"/>
    <cellStyle name="Įprastas 5 4 2 3 3 3 3" xfId="2272" xr:uid="{0F34FDF6-7433-49B2-916A-2AF0883BB8BD}"/>
    <cellStyle name="Įprastas 5 4 2 3 3 3 4" xfId="2945" xr:uid="{D79B0B61-B5F0-4CA7-8465-08615ED2A756}"/>
    <cellStyle name="Įprastas 5 4 2 3 3 3_8 priedas" xfId="1258" xr:uid="{00000000-0005-0000-0000-0000BB030000}"/>
    <cellStyle name="Įprastas 5 4 2 3 3 4" xfId="605" xr:uid="{00000000-0005-0000-0000-0000BC030000}"/>
    <cellStyle name="Įprastas 5 4 2 3 3 4 2" xfId="2274" xr:uid="{4544EF9F-CA04-441C-A55E-042489DF7E73}"/>
    <cellStyle name="Įprastas 5 4 2 3 3 4 3" xfId="3189" xr:uid="{A9B15574-CD73-49EC-A2E2-3F5D533549FA}"/>
    <cellStyle name="Įprastas 5 4 2 3 3 4_Lapas1" xfId="2273" xr:uid="{704CD123-3E9B-4380-9F07-DA927A852DC8}"/>
    <cellStyle name="Įprastas 5 4 2 3 3 5" xfId="2275" xr:uid="{377DEE3F-A956-4B5D-BEBE-C457901191F5}"/>
    <cellStyle name="Įprastas 5 4 2 3 3 6" xfId="2943" xr:uid="{6BDB213B-BE90-45F7-B36C-B455B8415B99}"/>
    <cellStyle name="Įprastas 5 4 2 3 3_8 priedas" xfId="1170" xr:uid="{00000000-0005-0000-0000-0000BD030000}"/>
    <cellStyle name="Įprastas 5 4 2 3 4" xfId="346" xr:uid="{00000000-0005-0000-0000-0000BE030000}"/>
    <cellStyle name="Įprastas 5 4 2 3 4 2" xfId="653" xr:uid="{00000000-0005-0000-0000-0000BF030000}"/>
    <cellStyle name="Įprastas 5 4 2 3 4 2 2" xfId="2277" xr:uid="{D9DDC734-9FF0-496E-9060-F7532F8B055D}"/>
    <cellStyle name="Įprastas 5 4 2 3 4 2 3" xfId="3237" xr:uid="{D974649F-9F32-47B0-A981-3ECA9C3EB9FA}"/>
    <cellStyle name="Įprastas 5 4 2 3 4 2_Lapas1" xfId="2276" xr:uid="{8C8CA167-3E23-4CB9-89D7-C6B51C1B844A}"/>
    <cellStyle name="Įprastas 5 4 2 3 4 3" xfId="2278" xr:uid="{BBB2CBA7-C3BB-4141-968E-6C9DAB608D4C}"/>
    <cellStyle name="Įprastas 5 4 2 3 4 4" xfId="2946" xr:uid="{62D4E4FF-176E-4512-90B5-E4B69B691DE2}"/>
    <cellStyle name="Įprastas 5 4 2 3 4_8 priedas" xfId="1122" xr:uid="{00000000-0005-0000-0000-0000C0030000}"/>
    <cellStyle name="Įprastas 5 4 2 3 5" xfId="347" xr:uid="{00000000-0005-0000-0000-0000C1030000}"/>
    <cellStyle name="Įprastas 5 4 2 3 5 2" xfId="797" xr:uid="{00000000-0005-0000-0000-0000C2030000}"/>
    <cellStyle name="Įprastas 5 4 2 3 5 2 2" xfId="2280" xr:uid="{25A6CFEA-7F4B-4363-93F1-232CF86793B3}"/>
    <cellStyle name="Įprastas 5 4 2 3 5 2 3" xfId="3381" xr:uid="{8354B6DC-E1D6-4DE8-9D74-DE20556DDD56}"/>
    <cellStyle name="Įprastas 5 4 2 3 5 2_Lapas1" xfId="2279" xr:uid="{6568DC34-7C3F-475E-A022-B445B579AB68}"/>
    <cellStyle name="Įprastas 5 4 2 3 5 3" xfId="2281" xr:uid="{998C0FCE-2A0C-4258-9196-41D866267F27}"/>
    <cellStyle name="Įprastas 5 4 2 3 5 4" xfId="2947" xr:uid="{643FC50F-F920-4C57-9E5C-0945BC195D91}"/>
    <cellStyle name="Įprastas 5 4 2 3 5_8 priedas" xfId="986" xr:uid="{00000000-0005-0000-0000-0000C3030000}"/>
    <cellStyle name="Įprastas 5 4 2 3 6" xfId="509" xr:uid="{00000000-0005-0000-0000-0000C4030000}"/>
    <cellStyle name="Įprastas 5 4 2 3 6 2" xfId="2283" xr:uid="{EB98C3EC-D8D1-4DBF-B71F-51EEA897F534}"/>
    <cellStyle name="Įprastas 5 4 2 3 6 3" xfId="3093" xr:uid="{0884B885-A458-43BE-95AD-BD6092C05C8F}"/>
    <cellStyle name="Įprastas 5 4 2 3 6_Lapas1" xfId="2282" xr:uid="{07A175C4-B051-400D-B6C9-DF87561290A7}"/>
    <cellStyle name="Įprastas 5 4 2 3 7" xfId="2284" xr:uid="{08A7D741-E339-424D-AF2B-10EDB59F13BA}"/>
    <cellStyle name="Įprastas 5 4 2 3 8" xfId="2939" xr:uid="{DE6EBAA8-4F32-4025-9FF4-6DB6D5058530}"/>
    <cellStyle name="Įprastas 5 4 2 3_8 priedas" xfId="968" xr:uid="{00000000-0005-0000-0000-0000C5030000}"/>
    <cellStyle name="Įprastas 5 4 2 4" xfId="348" xr:uid="{00000000-0005-0000-0000-0000C6030000}"/>
    <cellStyle name="Įprastas 5 4 2 4 2" xfId="349" xr:uid="{00000000-0005-0000-0000-0000C7030000}"/>
    <cellStyle name="Įprastas 5 4 2 4 2 2" xfId="677" xr:uid="{00000000-0005-0000-0000-0000C8030000}"/>
    <cellStyle name="Įprastas 5 4 2 4 2 2 2" xfId="2286" xr:uid="{22A0EFE6-2B91-4DD4-B71A-4E2488070674}"/>
    <cellStyle name="Įprastas 5 4 2 4 2 2 3" xfId="3261" xr:uid="{5AC61368-A93D-4C2B-AFF6-3447052B45D5}"/>
    <cellStyle name="Įprastas 5 4 2 4 2 2_Lapas1" xfId="2285" xr:uid="{D91D1CF0-C183-4473-A561-E3B494A2D8CF}"/>
    <cellStyle name="Įprastas 5 4 2 4 2 3" xfId="2287" xr:uid="{58B9959B-B49F-43C5-B190-6DFE6C465419}"/>
    <cellStyle name="Įprastas 5 4 2 4 2 4" xfId="2949" xr:uid="{C932519C-09BD-41A5-A3C3-9FE0E8600D3E}"/>
    <cellStyle name="Įprastas 5 4 2 4 2_8 priedas" xfId="1204" xr:uid="{00000000-0005-0000-0000-0000C9030000}"/>
    <cellStyle name="Įprastas 5 4 2 4 3" xfId="350" xr:uid="{00000000-0005-0000-0000-0000CA030000}"/>
    <cellStyle name="Įprastas 5 4 2 4 3 2" xfId="821" xr:uid="{00000000-0005-0000-0000-0000CB030000}"/>
    <cellStyle name="Įprastas 5 4 2 4 3 2 2" xfId="2289" xr:uid="{30BF6B27-39F5-4C79-BD39-ADAFD414C52F}"/>
    <cellStyle name="Įprastas 5 4 2 4 3 2 3" xfId="3405" xr:uid="{CCF43640-3F5D-4C59-9201-F268226E037D}"/>
    <cellStyle name="Įprastas 5 4 2 4 3 2_Lapas1" xfId="2288" xr:uid="{07FA1294-D8D6-469C-BE1F-6416CADEF112}"/>
    <cellStyle name="Įprastas 5 4 2 4 3 3" xfId="2290" xr:uid="{74FF79E7-D11F-46CB-8CA4-32B47B9BEAC7}"/>
    <cellStyle name="Įprastas 5 4 2 4 3 4" xfId="2950" xr:uid="{5124BC49-B35D-4D7E-95A3-2F4D31EB5F13}"/>
    <cellStyle name="Įprastas 5 4 2 4 3_8 priedas" xfId="1070" xr:uid="{00000000-0005-0000-0000-0000CC030000}"/>
    <cellStyle name="Įprastas 5 4 2 4 4" xfId="533" xr:uid="{00000000-0005-0000-0000-0000CD030000}"/>
    <cellStyle name="Įprastas 5 4 2 4 4 2" xfId="2292" xr:uid="{7114C1BC-4024-4690-A63F-4DB4DBE026F1}"/>
    <cellStyle name="Įprastas 5 4 2 4 4 3" xfId="3117" xr:uid="{AF83C337-85E5-4AD8-A3A9-1ACBB169B55A}"/>
    <cellStyle name="Įprastas 5 4 2 4 4_Lapas1" xfId="2291" xr:uid="{075CFE8E-E99B-45DE-B2F8-279CAF0AEB9C}"/>
    <cellStyle name="Įprastas 5 4 2 4 5" xfId="2293" xr:uid="{117B871D-4D8D-497D-84D5-99CE4F873AC0}"/>
    <cellStyle name="Įprastas 5 4 2 4 6" xfId="2948" xr:uid="{5737EFE8-AD39-4D73-9059-515B6465DEBE}"/>
    <cellStyle name="Įprastas 5 4 2 4_8 priedas" xfId="945" xr:uid="{00000000-0005-0000-0000-0000CE030000}"/>
    <cellStyle name="Įprastas 5 4 2 5" xfId="351" xr:uid="{00000000-0005-0000-0000-0000CF030000}"/>
    <cellStyle name="Įprastas 5 4 2 5 2" xfId="352" xr:uid="{00000000-0005-0000-0000-0000D0030000}"/>
    <cellStyle name="Įprastas 5 4 2 5 2 2" xfId="725" xr:uid="{00000000-0005-0000-0000-0000D1030000}"/>
    <cellStyle name="Įprastas 5 4 2 5 2 2 2" xfId="2295" xr:uid="{BB2E3350-52BC-4910-84BC-B4A16C7A6335}"/>
    <cellStyle name="Įprastas 5 4 2 5 2 2 3" xfId="3309" xr:uid="{C4D5F7E9-3B4E-414D-A294-7E3D7F9D4F4B}"/>
    <cellStyle name="Įprastas 5 4 2 5 2 2_Lapas1" xfId="2294" xr:uid="{3DCA8A3B-5C96-4A0F-91D9-7175177DAB04}"/>
    <cellStyle name="Įprastas 5 4 2 5 2 3" xfId="2296" xr:uid="{8F33B437-1BC9-4E0D-ADFB-E661AA2E4046}"/>
    <cellStyle name="Įprastas 5 4 2 5 2 4" xfId="2952" xr:uid="{7AEA689B-23C4-4581-99F0-388B42C89A34}"/>
    <cellStyle name="Įprastas 5 4 2 5 2_8 priedas" xfId="1158" xr:uid="{00000000-0005-0000-0000-0000D2030000}"/>
    <cellStyle name="Įprastas 5 4 2 5 3" xfId="353" xr:uid="{00000000-0005-0000-0000-0000D3030000}"/>
    <cellStyle name="Įprastas 5 4 2 5 3 2" xfId="869" xr:uid="{00000000-0005-0000-0000-0000D4030000}"/>
    <cellStyle name="Įprastas 5 4 2 5 3 2 2" xfId="2298" xr:uid="{952E5404-D102-42C1-98DF-624068985E76}"/>
    <cellStyle name="Įprastas 5 4 2 5 3 2 3" xfId="3453" xr:uid="{E508CED7-3B4F-4D83-B67E-AAD58CBAE345}"/>
    <cellStyle name="Įprastas 5 4 2 5 3 2_Lapas1" xfId="2297" xr:uid="{4D7839CA-F625-415A-B0A8-93D10831E2B2}"/>
    <cellStyle name="Įprastas 5 4 2 5 3 3" xfId="2299" xr:uid="{F1AB47E5-6909-4AA9-B858-49E6D55F4BE9}"/>
    <cellStyle name="Įprastas 5 4 2 5 3 4" xfId="2953" xr:uid="{3B1F4440-DA00-4222-AD00-0233A820676F}"/>
    <cellStyle name="Įprastas 5 4 2 5 3_8 priedas" xfId="1023" xr:uid="{00000000-0005-0000-0000-0000D5030000}"/>
    <cellStyle name="Įprastas 5 4 2 5 4" xfId="581" xr:uid="{00000000-0005-0000-0000-0000D6030000}"/>
    <cellStyle name="Įprastas 5 4 2 5 4 2" xfId="2301" xr:uid="{6160363B-2A63-4C73-AEE1-FD24ED98AA54}"/>
    <cellStyle name="Įprastas 5 4 2 5 4 3" xfId="3165" xr:uid="{C08CAE31-5935-49A0-9B40-726B804BC7BD}"/>
    <cellStyle name="Įprastas 5 4 2 5 4_Lapas1" xfId="2300" xr:uid="{88257889-31E7-413D-9BD8-6FAA20CF4A3D}"/>
    <cellStyle name="Įprastas 5 4 2 5 5" xfId="2302" xr:uid="{4B9515E0-85EA-468B-802A-7AB3BA3BAE6B}"/>
    <cellStyle name="Įprastas 5 4 2 5 6" xfId="2951" xr:uid="{6DAA0DB0-C244-4050-9D81-37804AA94359}"/>
    <cellStyle name="Įprastas 5 4 2 5_8 priedas" xfId="1295" xr:uid="{00000000-0005-0000-0000-0000D7030000}"/>
    <cellStyle name="Įprastas 5 4 2 6" xfId="354" xr:uid="{00000000-0005-0000-0000-0000D8030000}"/>
    <cellStyle name="Įprastas 5 4 2 6 2" xfId="629" xr:uid="{00000000-0005-0000-0000-0000D9030000}"/>
    <cellStyle name="Įprastas 5 4 2 6 2 2" xfId="2304" xr:uid="{D2EF6BAD-B73C-4A56-A505-FF9B34253845}"/>
    <cellStyle name="Įprastas 5 4 2 6 2 3" xfId="3213" xr:uid="{0E6E8FBE-7414-4A1E-B68E-54AD1F380FDA}"/>
    <cellStyle name="Įprastas 5 4 2 6 2_Lapas1" xfId="2303" xr:uid="{09444148-6650-48A2-82DB-BE12622C98F3}"/>
    <cellStyle name="Įprastas 5 4 2 6 3" xfId="2305" xr:uid="{14EA98EF-FE87-4FCF-AAC0-516AE68F2D99}"/>
    <cellStyle name="Įprastas 5 4 2 6 4" xfId="2954" xr:uid="{9CCEAECB-CAEE-45D1-B8DB-84579DFCC066}"/>
    <cellStyle name="Įprastas 5 4 2 6_8 priedas" xfId="1248" xr:uid="{00000000-0005-0000-0000-0000DA030000}"/>
    <cellStyle name="Įprastas 5 4 2 7" xfId="355" xr:uid="{00000000-0005-0000-0000-0000DB030000}"/>
    <cellStyle name="Įprastas 5 4 2 7 2" xfId="773" xr:uid="{00000000-0005-0000-0000-0000DC030000}"/>
    <cellStyle name="Įprastas 5 4 2 7 2 2" xfId="2307" xr:uid="{DFAD9BD3-F38B-4055-8527-FF633CA8B7AC}"/>
    <cellStyle name="Įprastas 5 4 2 7 2 3" xfId="3357" xr:uid="{E69B9A6A-6815-46E1-85BB-8917BCE7B64D}"/>
    <cellStyle name="Įprastas 5 4 2 7 2_Lapas1" xfId="2306" xr:uid="{E9311310-6120-4858-A7AB-6AE4DA0EBDE4}"/>
    <cellStyle name="Įprastas 5 4 2 7 3" xfId="2308" xr:uid="{ED6E82F6-5211-4890-819F-833044E21BE7}"/>
    <cellStyle name="Įprastas 5 4 2 7 4" xfId="2955" xr:uid="{014ABEB8-71DC-41D3-AA68-8EA568CAD67D}"/>
    <cellStyle name="Įprastas 5 4 2 7_8 priedas" xfId="1115" xr:uid="{00000000-0005-0000-0000-0000DD030000}"/>
    <cellStyle name="Įprastas 5 4 2 8" xfId="485" xr:uid="{00000000-0005-0000-0000-0000DE030000}"/>
    <cellStyle name="Įprastas 5 4 2 8 2" xfId="2310" xr:uid="{D4C0A8A0-E52A-400C-BE4C-C3935AA70168}"/>
    <cellStyle name="Įprastas 5 4 2 8 3" xfId="3069" xr:uid="{B2668D53-2856-404D-8A05-1FD9E4EF73D6}"/>
    <cellStyle name="Įprastas 5 4 2 8_Lapas1" xfId="2309" xr:uid="{2E66DC5D-9A8E-4149-BAE8-E146D349C5C3}"/>
    <cellStyle name="Įprastas 5 4 2 9" xfId="2311" xr:uid="{CCFC3E83-E424-4620-918B-D5B493B6980F}"/>
    <cellStyle name="Įprastas 5 4 2_8 priedas" xfId="320" xr:uid="{00000000-0005-0000-0000-0000DF030000}"/>
    <cellStyle name="Įprastas 5 4 3" xfId="356" xr:uid="{00000000-0005-0000-0000-0000E0030000}"/>
    <cellStyle name="Įprastas 5 4 3 2" xfId="357" xr:uid="{00000000-0005-0000-0000-0000E1030000}"/>
    <cellStyle name="Įprastas 5 4 3 2 2" xfId="358" xr:uid="{00000000-0005-0000-0000-0000E2030000}"/>
    <cellStyle name="Įprastas 5 4 3 2 2 2" xfId="359" xr:uid="{00000000-0005-0000-0000-0000E3030000}"/>
    <cellStyle name="Įprastas 5 4 3 2 2 2 2" xfId="708" xr:uid="{00000000-0005-0000-0000-0000E4030000}"/>
    <cellStyle name="Įprastas 5 4 3 2 2 2 2 2" xfId="2313" xr:uid="{BA7E3B51-3F8D-4F07-98FD-3493166C56DC}"/>
    <cellStyle name="Įprastas 5 4 3 2 2 2 2 3" xfId="3292" xr:uid="{3F6BCCFD-455C-4420-A690-C00E22167C51}"/>
    <cellStyle name="Įprastas 5 4 3 2 2 2 2_Lapas1" xfId="2312" xr:uid="{227443C6-66A6-42D2-989A-F7DA17C38CF0}"/>
    <cellStyle name="Įprastas 5 4 3 2 2 2 3" xfId="2314" xr:uid="{B49F0455-AC77-48B7-A851-850B01D9A4A8}"/>
    <cellStyle name="Įprastas 5 4 3 2 2 2 4" xfId="2959" xr:uid="{5D95A899-B2D8-4381-A3A7-AF0E41F2047E}"/>
    <cellStyle name="Įprastas 5 4 3 2 2 2_8 priedas" xfId="1182" xr:uid="{00000000-0005-0000-0000-0000E5030000}"/>
    <cellStyle name="Įprastas 5 4 3 2 2 3" xfId="360" xr:uid="{00000000-0005-0000-0000-0000E6030000}"/>
    <cellStyle name="Įprastas 5 4 3 2 2 3 2" xfId="852" xr:uid="{00000000-0005-0000-0000-0000E7030000}"/>
    <cellStyle name="Įprastas 5 4 3 2 2 3 2 2" xfId="2316" xr:uid="{808E199F-5C7B-4F78-8DA7-A9BD46A6C7C2}"/>
    <cellStyle name="Įprastas 5 4 3 2 2 3 2 3" xfId="3436" xr:uid="{2805EBA7-C56C-441A-96FB-9FC5B580C297}"/>
    <cellStyle name="Įprastas 5 4 3 2 2 3 2_Lapas1" xfId="2315" xr:uid="{B8B2C82D-8053-43C3-AB38-01BCE9151BCE}"/>
    <cellStyle name="Įprastas 5 4 3 2 2 3 3" xfId="2317" xr:uid="{05BF0958-4127-4BD1-B465-4A0B741E8A7F}"/>
    <cellStyle name="Įprastas 5 4 3 2 2 3 4" xfId="2960" xr:uid="{1CFEEB64-EF30-4DC1-89BD-03A6F0D0D13A}"/>
    <cellStyle name="Įprastas 5 4 3 2 2 3_8 priedas" xfId="1046" xr:uid="{00000000-0005-0000-0000-0000E8030000}"/>
    <cellStyle name="Įprastas 5 4 3 2 2 4" xfId="564" xr:uid="{00000000-0005-0000-0000-0000E9030000}"/>
    <cellStyle name="Įprastas 5 4 3 2 2 4 2" xfId="2319" xr:uid="{BD2EE7DD-BFEF-40E6-826E-5A5240897BEC}"/>
    <cellStyle name="Įprastas 5 4 3 2 2 4 3" xfId="3148" xr:uid="{270E64AF-764E-460E-B3F7-A9D46C516FF1}"/>
    <cellStyle name="Įprastas 5 4 3 2 2 4_Lapas1" xfId="2318" xr:uid="{4FCB3DA4-AEAD-4D29-9DF3-1708F6B7D452}"/>
    <cellStyle name="Įprastas 5 4 3 2 2 5" xfId="2320" xr:uid="{9CBE49D4-F8CA-4002-991F-5707428C8086}"/>
    <cellStyle name="Įprastas 5 4 3 2 2 6" xfId="2958" xr:uid="{DE626E1E-1A95-4495-9D52-BB8C8B69074F}"/>
    <cellStyle name="Įprastas 5 4 3 2 2_8 priedas" xfId="1319" xr:uid="{00000000-0005-0000-0000-0000EA030000}"/>
    <cellStyle name="Įprastas 5 4 3 2 3" xfId="361" xr:uid="{00000000-0005-0000-0000-0000EB030000}"/>
    <cellStyle name="Įprastas 5 4 3 2 3 2" xfId="362" xr:uid="{00000000-0005-0000-0000-0000EC030000}"/>
    <cellStyle name="Įprastas 5 4 3 2 3 2 2" xfId="756" xr:uid="{00000000-0005-0000-0000-0000ED030000}"/>
    <cellStyle name="Įprastas 5 4 3 2 3 2 2 2" xfId="2322" xr:uid="{C9F7D93E-1F03-4BC7-B72D-AD1016604FCF}"/>
    <cellStyle name="Įprastas 5 4 3 2 3 2 2 3" xfId="3340" xr:uid="{C4360B5C-A4DF-4601-9C93-C94243B84FCE}"/>
    <cellStyle name="Įprastas 5 4 3 2 3 2 2_Lapas1" xfId="2321" xr:uid="{5DF0D440-D737-42E3-A58D-9C51DE68BB18}"/>
    <cellStyle name="Įprastas 5 4 3 2 3 2 3" xfId="2323" xr:uid="{38A27C25-64D3-4EC2-9414-691B92F7BE52}"/>
    <cellStyle name="Įprastas 5 4 3 2 3 2 4" xfId="2962" xr:uid="{2E84284E-CD70-44EA-B15F-E0364B47665E}"/>
    <cellStyle name="Įprastas 5 4 3 2 3 2_8 priedas" xfId="1134" xr:uid="{00000000-0005-0000-0000-0000EE030000}"/>
    <cellStyle name="Įprastas 5 4 3 2 3 3" xfId="363" xr:uid="{00000000-0005-0000-0000-0000EF030000}"/>
    <cellStyle name="Įprastas 5 4 3 2 3 3 2" xfId="900" xr:uid="{00000000-0005-0000-0000-0000F0030000}"/>
    <cellStyle name="Įprastas 5 4 3 2 3 3 2 2" xfId="2325" xr:uid="{4D8CEC41-6221-4132-BE2A-E9C00EC4C4E4}"/>
    <cellStyle name="Įprastas 5 4 3 2 3 3 2 3" xfId="3484" xr:uid="{186642ED-56DD-4FE6-8812-68E579555F98}"/>
    <cellStyle name="Įprastas 5 4 3 2 3 3 2_Lapas1" xfId="2324" xr:uid="{F18E60B4-1D95-4DDC-A69F-364D685159EE}"/>
    <cellStyle name="Įprastas 5 4 3 2 3 3 3" xfId="2326" xr:uid="{06D11243-8404-494B-975E-EC994B316A07}"/>
    <cellStyle name="Įprastas 5 4 3 2 3 3 4" xfId="2963" xr:uid="{9C935C23-3A08-40CA-ADA7-3E193BFCAB2B}"/>
    <cellStyle name="Įprastas 5 4 3 2 3 3_8 priedas" xfId="998" xr:uid="{00000000-0005-0000-0000-0000F1030000}"/>
    <cellStyle name="Įprastas 5 4 3 2 3 4" xfId="612" xr:uid="{00000000-0005-0000-0000-0000F2030000}"/>
    <cellStyle name="Įprastas 5 4 3 2 3 4 2" xfId="2328" xr:uid="{21453BD4-EE03-485D-9FDC-C10410EB0195}"/>
    <cellStyle name="Įprastas 5 4 3 2 3 4 3" xfId="3196" xr:uid="{672BDF8D-0A79-4F9C-9D45-7B16153F31F5}"/>
    <cellStyle name="Įprastas 5 4 3 2 3 4_Lapas1" xfId="2327" xr:uid="{913CAFF7-6269-4977-9206-D4A6B544E4C8}"/>
    <cellStyle name="Įprastas 5 4 3 2 3 5" xfId="2329" xr:uid="{7F11FC1D-AE70-444B-BB88-282551CEFCF6}"/>
    <cellStyle name="Įprastas 5 4 3 2 3 6" xfId="2961" xr:uid="{9ABE4AD4-27A3-467D-97E3-7BA24942353C}"/>
    <cellStyle name="Įprastas 5 4 3 2 3_8 priedas" xfId="1270" xr:uid="{00000000-0005-0000-0000-0000F3030000}"/>
    <cellStyle name="Įprastas 5 4 3 2 4" xfId="364" xr:uid="{00000000-0005-0000-0000-0000F4030000}"/>
    <cellStyle name="Įprastas 5 4 3 2 4 2" xfId="660" xr:uid="{00000000-0005-0000-0000-0000F5030000}"/>
    <cellStyle name="Įprastas 5 4 3 2 4 2 2" xfId="2331" xr:uid="{F393FB53-CD69-4444-AFE7-BDFF03A1D19B}"/>
    <cellStyle name="Įprastas 5 4 3 2 4 2 3" xfId="3244" xr:uid="{E4723A0D-AA47-4F0C-A520-1E2E1883F8E1}"/>
    <cellStyle name="Įprastas 5 4 3 2 4 2_Lapas1" xfId="2330" xr:uid="{D7837E4E-D347-44C3-894A-8FBE73C5520C}"/>
    <cellStyle name="Įprastas 5 4 3 2 4 3" xfId="2332" xr:uid="{E0FA019F-5792-422A-B149-2802940BB97E}"/>
    <cellStyle name="Įprastas 5 4 3 2 4 4" xfId="2964" xr:uid="{14EBC99B-6332-4343-A131-55A5512E5D89}"/>
    <cellStyle name="Įprastas 5 4 3 2 4_8 priedas" xfId="957" xr:uid="{00000000-0005-0000-0000-0000F6030000}"/>
    <cellStyle name="Įprastas 5 4 3 2 5" xfId="365" xr:uid="{00000000-0005-0000-0000-0000F7030000}"/>
    <cellStyle name="Įprastas 5 4 3 2 5 2" xfId="804" xr:uid="{00000000-0005-0000-0000-0000F8030000}"/>
    <cellStyle name="Įprastas 5 4 3 2 5 2 2" xfId="2334" xr:uid="{70241A55-5135-4209-B7FE-4A212C45D960}"/>
    <cellStyle name="Įprastas 5 4 3 2 5 2 3" xfId="3388" xr:uid="{EB3FCFAF-0E27-4584-B010-E1B373E7B1D2}"/>
    <cellStyle name="Įprastas 5 4 3 2 5 2_Lapas1" xfId="2333" xr:uid="{3296E5A2-2519-4E4E-BE5F-352CD202F2DC}"/>
    <cellStyle name="Įprastas 5 4 3 2 5 3" xfId="2335" xr:uid="{61D686E2-CB61-487E-9B7B-44034E1E9543}"/>
    <cellStyle name="Įprastas 5 4 3 2 5 4" xfId="2965" xr:uid="{DC588C51-5981-4D4C-9D15-88F99B0A552F}"/>
    <cellStyle name="Įprastas 5 4 3 2 5_8 priedas" xfId="928" xr:uid="{00000000-0005-0000-0000-0000F9030000}"/>
    <cellStyle name="Įprastas 5 4 3 2 6" xfId="516" xr:uid="{00000000-0005-0000-0000-0000FA030000}"/>
    <cellStyle name="Įprastas 5 4 3 2 6 2" xfId="2337" xr:uid="{F74B9A3C-A754-48E8-A93B-7BA2D532FBEA}"/>
    <cellStyle name="Įprastas 5 4 3 2 6 3" xfId="3100" xr:uid="{6A32B253-206C-4BA9-AB5C-C6EFE05FA635}"/>
    <cellStyle name="Įprastas 5 4 3 2 6_Lapas1" xfId="2336" xr:uid="{51036053-4218-40EE-9FFA-DBE2F46E2957}"/>
    <cellStyle name="Įprastas 5 4 3 2 7" xfId="2338" xr:uid="{B81E7781-D980-482F-B63A-851A898FF108}"/>
    <cellStyle name="Įprastas 5 4 3 2 8" xfId="2957" xr:uid="{DC0AB97D-A8A4-442F-98FE-F753AA3E8729}"/>
    <cellStyle name="Įprastas 5 4 3 2_8 priedas" xfId="1094" xr:uid="{00000000-0005-0000-0000-0000FB030000}"/>
    <cellStyle name="Įprastas 5 4 3 3" xfId="366" xr:uid="{00000000-0005-0000-0000-0000FC030000}"/>
    <cellStyle name="Įprastas 5 4 3 3 2" xfId="367" xr:uid="{00000000-0005-0000-0000-0000FD030000}"/>
    <cellStyle name="Įprastas 5 4 3 3 2 2" xfId="684" xr:uid="{00000000-0005-0000-0000-0000FE030000}"/>
    <cellStyle name="Įprastas 5 4 3 3 2 2 2" xfId="2340" xr:uid="{FBD4B9FA-B7FA-4CCA-B25E-5A612254E3F2}"/>
    <cellStyle name="Įprastas 5 4 3 3 2 2 3" xfId="3268" xr:uid="{37D5D37E-3C76-4C41-BB2D-A6419065884B}"/>
    <cellStyle name="Įprastas 5 4 3 3 2 2_Lapas1" xfId="2339" xr:uid="{38BB817D-F1A7-499A-87E7-A976F2C2C829}"/>
    <cellStyle name="Įprastas 5 4 3 3 2 3" xfId="2341" xr:uid="{FBCB20C6-BBE8-4262-908B-3FF6F2A79BC5}"/>
    <cellStyle name="Įprastas 5 4 3 3 2 4" xfId="2967" xr:uid="{D9F3CE45-F7A4-484B-B472-11A10F97E2A2}"/>
    <cellStyle name="Įprastas 5 4 3 3 2_8 priedas" xfId="1200" xr:uid="{00000000-0005-0000-0000-0000FF030000}"/>
    <cellStyle name="Įprastas 5 4 3 3 3" xfId="368" xr:uid="{00000000-0005-0000-0000-000000040000}"/>
    <cellStyle name="Įprastas 5 4 3 3 3 2" xfId="828" xr:uid="{00000000-0005-0000-0000-000001040000}"/>
    <cellStyle name="Įprastas 5 4 3 3 3 2 2" xfId="2343" xr:uid="{FDACD49D-A6C2-449F-8A33-CAABCA33836D}"/>
    <cellStyle name="Įprastas 5 4 3 3 3 2 3" xfId="3412" xr:uid="{17FDD2D8-73EA-40FE-B9EE-91B09116FF2B}"/>
    <cellStyle name="Įprastas 5 4 3 3 3 2_Lapas1" xfId="2342" xr:uid="{003F867E-3B28-4ADC-A7D3-5028176E7F23}"/>
    <cellStyle name="Įprastas 5 4 3 3 3 3" xfId="2344" xr:uid="{4CB4B3B3-B143-4954-AB90-9D61C6238141}"/>
    <cellStyle name="Įprastas 5 4 3 3 3 4" xfId="2968" xr:uid="{432201C1-8931-4DA1-A8A0-1E0A28CE8254}"/>
    <cellStyle name="Įprastas 5 4 3 3 3_8 priedas" xfId="1066" xr:uid="{00000000-0005-0000-0000-000002040000}"/>
    <cellStyle name="Įprastas 5 4 3 3 4" xfId="540" xr:uid="{00000000-0005-0000-0000-000003040000}"/>
    <cellStyle name="Įprastas 5 4 3 3 4 2" xfId="2346" xr:uid="{7E7D7099-F748-4B07-954A-2AE3BDDDA029}"/>
    <cellStyle name="Įprastas 5 4 3 3 4 3" xfId="3124" xr:uid="{4A84F3DF-1399-4F5F-801D-503EEB486C23}"/>
    <cellStyle name="Įprastas 5 4 3 3 4_Lapas1" xfId="2345" xr:uid="{82FFCA02-E285-4BFD-8787-3CD0691C2BB6}"/>
    <cellStyle name="Įprastas 5 4 3 3 5" xfId="2347" xr:uid="{348BE12E-17BC-47AC-B3C6-F8D11EBB0304}"/>
    <cellStyle name="Įprastas 5 4 3 3 6" xfId="2966" xr:uid="{5F91003E-7AF7-4303-83A3-E1DF719FC61E}"/>
    <cellStyle name="Įprastas 5 4 3 3_8 priedas" xfId="937" xr:uid="{00000000-0005-0000-0000-000004040000}"/>
    <cellStyle name="Įprastas 5 4 3 4" xfId="369" xr:uid="{00000000-0005-0000-0000-000005040000}"/>
    <cellStyle name="Įprastas 5 4 3 4 2" xfId="370" xr:uid="{00000000-0005-0000-0000-000006040000}"/>
    <cellStyle name="Įprastas 5 4 3 4 2 2" xfId="732" xr:uid="{00000000-0005-0000-0000-000007040000}"/>
    <cellStyle name="Įprastas 5 4 3 4 2 2 2" xfId="2349" xr:uid="{322449A4-BF8D-4E11-B3B3-8C8055FD940E}"/>
    <cellStyle name="Įprastas 5 4 3 4 2 2 3" xfId="3316" xr:uid="{F6C0821C-7333-4402-9E29-D816BC37B88C}"/>
    <cellStyle name="Įprastas 5 4 3 4 2 2_Lapas1" xfId="2348" xr:uid="{FCC43803-8CDE-412B-A57C-01072451195C}"/>
    <cellStyle name="Įprastas 5 4 3 4 2 3" xfId="2350" xr:uid="{D92B2174-D9EA-4667-8711-26CB9C91A0D7}"/>
    <cellStyle name="Įprastas 5 4 3 4 2 4" xfId="2970" xr:uid="{E62AC2FF-8F7F-443A-A45F-181D5C018C36}"/>
    <cellStyle name="Įprastas 5 4 3 4 2_8 priedas" xfId="1154" xr:uid="{00000000-0005-0000-0000-000008040000}"/>
    <cellStyle name="Įprastas 5 4 3 4 3" xfId="371" xr:uid="{00000000-0005-0000-0000-000009040000}"/>
    <cellStyle name="Įprastas 5 4 3 4 3 2" xfId="876" xr:uid="{00000000-0005-0000-0000-00000A040000}"/>
    <cellStyle name="Įprastas 5 4 3 4 3 2 2" xfId="2352" xr:uid="{01440EFC-4E9D-4E06-8730-C172ECD660AF}"/>
    <cellStyle name="Įprastas 5 4 3 4 3 2 3" xfId="3460" xr:uid="{500841D2-22D8-4008-96D3-7A4D6DC8454A}"/>
    <cellStyle name="Įprastas 5 4 3 4 3 2_Lapas1" xfId="2351" xr:uid="{5F2DBAFB-BCC4-4BD7-9021-D7210AA5E6DA}"/>
    <cellStyle name="Įprastas 5 4 3 4 3 3" xfId="2353" xr:uid="{9B375BDA-805D-4CD3-AA03-4305AAB5BF35}"/>
    <cellStyle name="Įprastas 5 4 3 4 3 4" xfId="2971" xr:uid="{8EEF34CD-D453-4EA6-9504-29C0A925D294}"/>
    <cellStyle name="Įprastas 5 4 3 4 3_8 priedas" xfId="1019" xr:uid="{00000000-0005-0000-0000-00000B040000}"/>
    <cellStyle name="Įprastas 5 4 3 4 4" xfId="588" xr:uid="{00000000-0005-0000-0000-00000C040000}"/>
    <cellStyle name="Įprastas 5 4 3 4 4 2" xfId="2355" xr:uid="{1E1133A9-0DF4-4F8F-823F-065F4C32E90A}"/>
    <cellStyle name="Įprastas 5 4 3 4 4 3" xfId="3172" xr:uid="{2BAE0A15-E8FE-4905-9ACB-EA846C1E4BBC}"/>
    <cellStyle name="Įprastas 5 4 3 4 4_Lapas1" xfId="2354" xr:uid="{AB16370C-C321-4897-97A2-682755D46583}"/>
    <cellStyle name="Įprastas 5 4 3 4 5" xfId="2356" xr:uid="{5BD653F2-2E81-4BC8-8A98-73CA9F83D984}"/>
    <cellStyle name="Įprastas 5 4 3 4 6" xfId="2969" xr:uid="{A49C5D58-8774-412B-A78B-D393E326089C}"/>
    <cellStyle name="Įprastas 5 4 3 4_8 priedas" xfId="1291" xr:uid="{00000000-0005-0000-0000-00000D040000}"/>
    <cellStyle name="Įprastas 5 4 3 5" xfId="372" xr:uid="{00000000-0005-0000-0000-00000E040000}"/>
    <cellStyle name="Įprastas 5 4 3 5 2" xfId="636" xr:uid="{00000000-0005-0000-0000-00000F040000}"/>
    <cellStyle name="Įprastas 5 4 3 5 2 2" xfId="2358" xr:uid="{7438FF45-587C-49EE-9CF2-DC1626338751}"/>
    <cellStyle name="Įprastas 5 4 3 5 2 3" xfId="3220" xr:uid="{4BE6A131-636F-4BAA-A38C-E26E14AC3AB9}"/>
    <cellStyle name="Įprastas 5 4 3 5 2_Lapas1" xfId="2357" xr:uid="{E4980283-FD61-4665-B6E4-403E16D73759}"/>
    <cellStyle name="Įprastas 5 4 3 5 3" xfId="2359" xr:uid="{42035229-0389-4A9F-8471-AAAC6E490198}"/>
    <cellStyle name="Įprastas 5 4 3 5 4" xfId="2972" xr:uid="{0E58B342-8555-4C9E-BE40-6F09E58C586A}"/>
    <cellStyle name="Įprastas 5 4 3 5_8 priedas" xfId="1244" xr:uid="{00000000-0005-0000-0000-000010040000}"/>
    <cellStyle name="Įprastas 5 4 3 6" xfId="373" xr:uid="{00000000-0005-0000-0000-000011040000}"/>
    <cellStyle name="Įprastas 5 4 3 6 2" xfId="780" xr:uid="{00000000-0005-0000-0000-000012040000}"/>
    <cellStyle name="Įprastas 5 4 3 6 2 2" xfId="2361" xr:uid="{EDA12381-BAE8-4F2B-8FBF-5DBC603F6A9E}"/>
    <cellStyle name="Įprastas 5 4 3 6 2 3" xfId="3364" xr:uid="{9DB271C5-ADA4-4566-895A-1DF2ECF12EC0}"/>
    <cellStyle name="Įprastas 5 4 3 6 2_Lapas1" xfId="2360" xr:uid="{7262A968-8BCD-4A92-BCB7-D35B291470DC}"/>
    <cellStyle name="Įprastas 5 4 3 6 3" xfId="2362" xr:uid="{15420977-70C2-4AE0-8E87-7D082649DFA3}"/>
    <cellStyle name="Įprastas 5 4 3 6 4" xfId="2973" xr:uid="{77FFC832-1681-42E6-85B2-652A6521A0CB}"/>
    <cellStyle name="Įprastas 5 4 3 6_8 priedas" xfId="1114" xr:uid="{00000000-0005-0000-0000-000013040000}"/>
    <cellStyle name="Įprastas 5 4 3 7" xfId="492" xr:uid="{00000000-0005-0000-0000-000014040000}"/>
    <cellStyle name="Įprastas 5 4 3 7 2" xfId="2364" xr:uid="{EDA0377B-441E-4752-BAF1-1BF0CB7ADC66}"/>
    <cellStyle name="Įprastas 5 4 3 7 3" xfId="3076" xr:uid="{FD4D1406-89A4-4726-8B4C-D0E1F07E6D19}"/>
    <cellStyle name="Įprastas 5 4 3 7_Lapas1" xfId="2363" xr:uid="{4E2EA30B-EC85-44C3-A717-662760D2695D}"/>
    <cellStyle name="Įprastas 5 4 3 8" xfId="2365" xr:uid="{9C2D5B3F-F042-4819-A905-62AE20E1FB90}"/>
    <cellStyle name="Įprastas 5 4 3 9" xfId="2956" xr:uid="{3F901820-F4B7-46E8-943D-2F1619D189CC}"/>
    <cellStyle name="Įprastas 5 4 3_8 priedas" xfId="1228" xr:uid="{00000000-0005-0000-0000-000015040000}"/>
    <cellStyle name="Įprastas 5 4 4" xfId="374" xr:uid="{00000000-0005-0000-0000-000016040000}"/>
    <cellStyle name="Įprastas 5 4 4 2" xfId="375" xr:uid="{00000000-0005-0000-0000-000017040000}"/>
    <cellStyle name="Įprastas 5 4 4 2 2" xfId="376" xr:uid="{00000000-0005-0000-0000-000018040000}"/>
    <cellStyle name="Įprastas 5 4 4 2 2 2" xfId="696" xr:uid="{00000000-0005-0000-0000-000019040000}"/>
    <cellStyle name="Įprastas 5 4 4 2 2 2 2" xfId="2367" xr:uid="{C199E00F-2E1B-4F74-A58A-3B018B6EBC28}"/>
    <cellStyle name="Įprastas 5 4 4 2 2 2 3" xfId="3280" xr:uid="{3B5E3B40-EC16-44B1-9DB1-71C56E7AF297}"/>
    <cellStyle name="Įprastas 5 4 4 2 2 2_Lapas1" xfId="2366" xr:uid="{D3350A0B-D8CD-4701-B60D-42252B7A458D}"/>
    <cellStyle name="Įprastas 5 4 4 2 2 3" xfId="2368" xr:uid="{3B0CCB5D-CD5B-4F40-B9B5-BE070C5B5599}"/>
    <cellStyle name="Įprastas 5 4 4 2 2 4" xfId="2976" xr:uid="{03E91744-0138-4943-9F31-A956900444A3}"/>
    <cellStyle name="Įprastas 5 4 4 2 2_8 priedas" xfId="1090" xr:uid="{00000000-0005-0000-0000-00001A040000}"/>
    <cellStyle name="Įprastas 5 4 4 2 3" xfId="377" xr:uid="{00000000-0005-0000-0000-00001B040000}"/>
    <cellStyle name="Įprastas 5 4 4 2 3 2" xfId="840" xr:uid="{00000000-0005-0000-0000-00001C040000}"/>
    <cellStyle name="Įprastas 5 4 4 2 3 2 2" xfId="2370" xr:uid="{17D848DA-578C-4E4C-BE33-742D6384B755}"/>
    <cellStyle name="Įprastas 5 4 4 2 3 2 3" xfId="3424" xr:uid="{EDF319D2-C8DB-46BB-BE32-801C12F64352}"/>
    <cellStyle name="Įprastas 5 4 4 2 3 2_Lapas1" xfId="2369" xr:uid="{FF426B4D-E7F5-4DB4-8EB0-063605284D6E}"/>
    <cellStyle name="Įprastas 5 4 4 2 3 3" xfId="2371" xr:uid="{ED6AC226-7AB7-4DD5-9330-94E55B416F11}"/>
    <cellStyle name="Įprastas 5 4 4 2 3 4" xfId="2977" xr:uid="{CF1AA7A0-1E55-4D2B-BE8D-64E5F09D3A9C}"/>
    <cellStyle name="Įprastas 5 4 4 2 3_8 priedas" xfId="1315" xr:uid="{00000000-0005-0000-0000-00001D040000}"/>
    <cellStyle name="Įprastas 5 4 4 2 4" xfId="552" xr:uid="{00000000-0005-0000-0000-00001E040000}"/>
    <cellStyle name="Įprastas 5 4 4 2 4 2" xfId="2373" xr:uid="{DE8A14C4-E6BB-4E97-A61E-92BE40753BAC}"/>
    <cellStyle name="Įprastas 5 4 4 2 4 3" xfId="3136" xr:uid="{9019D922-47B0-4700-890C-9D1A9E1721F9}"/>
    <cellStyle name="Įprastas 5 4 4 2 4_Lapas1" xfId="2372" xr:uid="{7CE365E6-91F4-47FA-B490-1784D3E0F950}"/>
    <cellStyle name="Įprastas 5 4 4 2 5" xfId="2374" xr:uid="{63D52ED4-479F-47F8-B685-3631D9497590}"/>
    <cellStyle name="Įprastas 5 4 4 2 6" xfId="2975" xr:uid="{4211E32B-D2F7-44E7-9EDF-6611F429162E}"/>
    <cellStyle name="Įprastas 5 4 4 2_8 priedas" xfId="1224" xr:uid="{00000000-0005-0000-0000-00001F040000}"/>
    <cellStyle name="Įprastas 5 4 4 3" xfId="378" xr:uid="{00000000-0005-0000-0000-000020040000}"/>
    <cellStyle name="Įprastas 5 4 4 3 2" xfId="379" xr:uid="{00000000-0005-0000-0000-000021040000}"/>
    <cellStyle name="Įprastas 5 4 4 3 2 2" xfId="744" xr:uid="{00000000-0005-0000-0000-000022040000}"/>
    <cellStyle name="Įprastas 5 4 4 3 2 2 2" xfId="2376" xr:uid="{405271E1-9E6A-45DD-9D61-7C3AEB46D805}"/>
    <cellStyle name="Įprastas 5 4 4 3 2 2 3" xfId="3328" xr:uid="{E07AA0B7-BCF1-4D40-8B87-0531EEF2DC82}"/>
    <cellStyle name="Įprastas 5 4 4 3 2 2_Lapas1" xfId="2375" xr:uid="{73776DA0-0A88-4B6D-BD70-1A17C6011662}"/>
    <cellStyle name="Įprastas 5 4 4 3 2 3" xfId="2377" xr:uid="{41BCD554-496E-417D-B5A9-429E4CD02F3D}"/>
    <cellStyle name="Įprastas 5 4 4 3 2 4" xfId="2979" xr:uid="{DD8F63C6-5C35-4934-A0A6-DD2D7F89AC52}"/>
    <cellStyle name="Įprastas 5 4 4 3 2_8 priedas" xfId="1042" xr:uid="{00000000-0005-0000-0000-000023040000}"/>
    <cellStyle name="Įprastas 5 4 4 3 3" xfId="380" xr:uid="{00000000-0005-0000-0000-000024040000}"/>
    <cellStyle name="Įprastas 5 4 4 3 3 2" xfId="888" xr:uid="{00000000-0005-0000-0000-000025040000}"/>
    <cellStyle name="Įprastas 5 4 4 3 3 2 2" xfId="2379" xr:uid="{8053EABF-2213-4447-A606-83B65674F323}"/>
    <cellStyle name="Įprastas 5 4 4 3 3 2 3" xfId="3472" xr:uid="{3239D73B-DDF2-4E7B-B96B-1BC4946D4B5D}"/>
    <cellStyle name="Įprastas 5 4 4 3 3 2_Lapas1" xfId="2378" xr:uid="{83283239-6B5B-452C-AC10-1DF4FC13D635}"/>
    <cellStyle name="Įprastas 5 4 4 3 3 3" xfId="2380" xr:uid="{2A2078A2-2A4C-4E35-8B37-0159F2578406}"/>
    <cellStyle name="Įprastas 5 4 4 3 3 4" xfId="2980" xr:uid="{AFEDF72B-D693-4922-A768-1CD5702CE6FB}"/>
    <cellStyle name="Įprastas 5 4 4 3 3_8 priedas" xfId="1266" xr:uid="{00000000-0005-0000-0000-000026040000}"/>
    <cellStyle name="Įprastas 5 4 4 3 4" xfId="600" xr:uid="{00000000-0005-0000-0000-000027040000}"/>
    <cellStyle name="Įprastas 5 4 4 3 4 2" xfId="2382" xr:uid="{DD0A102E-817A-43CA-BB09-D911B4B1DCC6}"/>
    <cellStyle name="Įprastas 5 4 4 3 4 3" xfId="3184" xr:uid="{EE41DB8F-28B2-4CB5-81A9-5C4C460E2DEF}"/>
    <cellStyle name="Įprastas 5 4 4 3 4_Lapas1" xfId="2381" xr:uid="{63EE13BE-0BB8-44C8-AE0E-C76B7DCF9C52}"/>
    <cellStyle name="Įprastas 5 4 4 3 5" xfId="2383" xr:uid="{D76C3AC8-04B0-4D3C-9381-94E22A2C9418}"/>
    <cellStyle name="Įprastas 5 4 4 3 6" xfId="2978" xr:uid="{42DCD70B-2D45-4058-B0F5-E91CB95EAC5A}"/>
    <cellStyle name="Įprastas 5 4 4 3_8 priedas" xfId="1178" xr:uid="{00000000-0005-0000-0000-000028040000}"/>
    <cellStyle name="Įprastas 5 4 4 4" xfId="381" xr:uid="{00000000-0005-0000-0000-000029040000}"/>
    <cellStyle name="Įprastas 5 4 4 4 2" xfId="648" xr:uid="{00000000-0005-0000-0000-00002A040000}"/>
    <cellStyle name="Įprastas 5 4 4 4 2 2" xfId="2385" xr:uid="{A724037B-DA9E-45DF-85AA-E98956884597}"/>
    <cellStyle name="Įprastas 5 4 4 4 2 3" xfId="3232" xr:uid="{E5B097BF-5DB8-4B3E-BC3E-497542BF4391}"/>
    <cellStyle name="Įprastas 5 4 4 4 2_Lapas1" xfId="2384" xr:uid="{5D231CCE-E6F2-4DD9-852C-B4BFB7A5D99C}"/>
    <cellStyle name="Įprastas 5 4 4 4 3" xfId="2386" xr:uid="{AA2EF307-37B5-41A9-B3D3-49A13A49B123}"/>
    <cellStyle name="Įprastas 5 4 4 4 4" xfId="2981" xr:uid="{8CFE862D-294B-4158-ADAE-0D70D0ADFE74}"/>
    <cellStyle name="Įprastas 5 4 4 4_8 priedas" xfId="1130" xr:uid="{00000000-0005-0000-0000-00002B040000}"/>
    <cellStyle name="Įprastas 5 4 4 5" xfId="382" xr:uid="{00000000-0005-0000-0000-00002C040000}"/>
    <cellStyle name="Įprastas 5 4 4 5 2" xfId="792" xr:uid="{00000000-0005-0000-0000-00002D040000}"/>
    <cellStyle name="Įprastas 5 4 4 5 2 2" xfId="2388" xr:uid="{E8EABDF2-65C0-4049-9B04-048F7922E421}"/>
    <cellStyle name="Įprastas 5 4 4 5 2 3" xfId="3376" xr:uid="{9AD7E27F-CDBC-4077-A7BD-D7260C5E57AA}"/>
    <cellStyle name="Įprastas 5 4 4 5 2_Lapas1" xfId="2387" xr:uid="{30CF43B6-A634-440E-BF33-6886C227F16C}"/>
    <cellStyle name="Įprastas 5 4 4 5 3" xfId="2389" xr:uid="{3B433783-8D13-4EBC-99AA-671070E4861C}"/>
    <cellStyle name="Įprastas 5 4 4 5 4" xfId="2982" xr:uid="{62BA169E-E0B2-491F-BC0B-2393E21A6DB1}"/>
    <cellStyle name="Įprastas 5 4 4 5_8 priedas" xfId="994" xr:uid="{00000000-0005-0000-0000-00002E040000}"/>
    <cellStyle name="Įprastas 5 4 4 6" xfId="504" xr:uid="{00000000-0005-0000-0000-00002F040000}"/>
    <cellStyle name="Įprastas 5 4 4 6 2" xfId="2391" xr:uid="{53CD8AE2-E7DC-4D4A-A671-E8D97FEC1563}"/>
    <cellStyle name="Įprastas 5 4 4 6 3" xfId="3088" xr:uid="{67F4292D-8162-4E4D-8A65-484B76A787DA}"/>
    <cellStyle name="Įprastas 5 4 4 6_Lapas1" xfId="2390" xr:uid="{498CD957-2F25-4CBA-B4A9-9B82DCEA84AC}"/>
    <cellStyle name="Įprastas 5 4 4 7" xfId="2392" xr:uid="{F7E3508E-BF59-4E6A-A916-A829392682BE}"/>
    <cellStyle name="Įprastas 5 4 4 8" xfId="2974" xr:uid="{CD18A3E2-E69F-4926-AE08-493E0898A931}"/>
    <cellStyle name="Įprastas 5 4 4_8 priedas" xfId="978" xr:uid="{00000000-0005-0000-0000-000030040000}"/>
    <cellStyle name="Įprastas 5 4 5" xfId="383" xr:uid="{00000000-0005-0000-0000-000031040000}"/>
    <cellStyle name="Įprastas 5 4 5 2" xfId="384" xr:uid="{00000000-0005-0000-0000-000032040000}"/>
    <cellStyle name="Įprastas 5 4 5 2 2" xfId="672" xr:uid="{00000000-0005-0000-0000-000033040000}"/>
    <cellStyle name="Įprastas 5 4 5 2 2 2" xfId="2394" xr:uid="{5AD5735D-927A-4F7F-BBA2-5B24BA839B6A}"/>
    <cellStyle name="Įprastas 5 4 5 2 2 3" xfId="3256" xr:uid="{4F04ECD8-8BAB-4765-BEA8-E38A2B94D000}"/>
    <cellStyle name="Įprastas 5 4 5 2 2_Lapas1" xfId="2393" xr:uid="{4DFE4096-2952-4C68-BF71-876FC62E4D36}"/>
    <cellStyle name="Įprastas 5 4 5 2 3" xfId="2395" xr:uid="{291CF94C-BA08-4955-A0C9-C93119330261}"/>
    <cellStyle name="Įprastas 5 4 5 2 4" xfId="2984" xr:uid="{06C9C9D6-9168-4308-8AA3-E89B4F251A9F}"/>
    <cellStyle name="Įprastas 5 4 5 2_8 priedas" xfId="1212" xr:uid="{00000000-0005-0000-0000-000034040000}"/>
    <cellStyle name="Įprastas 5 4 5 3" xfId="385" xr:uid="{00000000-0005-0000-0000-000035040000}"/>
    <cellStyle name="Įprastas 5 4 5 3 2" xfId="816" xr:uid="{00000000-0005-0000-0000-000036040000}"/>
    <cellStyle name="Įprastas 5 4 5 3 2 2" xfId="2397" xr:uid="{074410EE-1364-4353-95B0-F1545D7E5474}"/>
    <cellStyle name="Įprastas 5 4 5 3 2 3" xfId="3400" xr:uid="{09DE2462-6870-4ED4-8851-72136D0180BF}"/>
    <cellStyle name="Įprastas 5 4 5 3 2_Lapas1" xfId="2396" xr:uid="{8BA6D06B-5FD1-4621-8E14-E4189EC1962B}"/>
    <cellStyle name="Įprastas 5 4 5 3 3" xfId="2398" xr:uid="{33A61622-8D43-403D-9918-E9B2D819DE94}"/>
    <cellStyle name="Įprastas 5 4 5 3 4" xfId="2985" xr:uid="{A6472BFB-A603-4EDE-9998-C8096B3C29DD}"/>
    <cellStyle name="Įprastas 5 4 5 3_8 priedas" xfId="1078" xr:uid="{00000000-0005-0000-0000-000037040000}"/>
    <cellStyle name="Įprastas 5 4 5 4" xfId="528" xr:uid="{00000000-0005-0000-0000-000038040000}"/>
    <cellStyle name="Įprastas 5 4 5 4 2" xfId="2400" xr:uid="{40B7D7FC-F98B-427E-B82D-904B8317D82F}"/>
    <cellStyle name="Įprastas 5 4 5 4 3" xfId="3112" xr:uid="{23D04263-A86F-4147-92C3-4AA399C702E9}"/>
    <cellStyle name="Įprastas 5 4 5 4_Lapas1" xfId="2399" xr:uid="{55E01089-321A-4662-BD54-FB415FF122CE}"/>
    <cellStyle name="Įprastas 5 4 5 5" xfId="2401" xr:uid="{DA8B1210-C45F-4D35-B23B-2FE27E0EE6CD}"/>
    <cellStyle name="Įprastas 5 4 5 6" xfId="2983" xr:uid="{F177B805-B00A-4D67-B979-63144BF60AEF}"/>
    <cellStyle name="Įprastas 5 4 5_8 priedas" xfId="953" xr:uid="{00000000-0005-0000-0000-000039040000}"/>
    <cellStyle name="Įprastas 5 4 6" xfId="386" xr:uid="{00000000-0005-0000-0000-00003A040000}"/>
    <cellStyle name="Įprastas 5 4 6 2" xfId="387" xr:uid="{00000000-0005-0000-0000-00003B040000}"/>
    <cellStyle name="Įprastas 5 4 6 2 2" xfId="720" xr:uid="{00000000-0005-0000-0000-00003C040000}"/>
    <cellStyle name="Įprastas 5 4 6 2 2 2" xfId="2403" xr:uid="{92E0F747-FFF4-47D4-8C7C-97CAB910AC8A}"/>
    <cellStyle name="Įprastas 5 4 6 2 2 3" xfId="3304" xr:uid="{E15A563F-47DB-48BB-9344-A5B5C617D5D8}"/>
    <cellStyle name="Įprastas 5 4 6 2 2_Lapas1" xfId="2402" xr:uid="{0CAD34AA-3313-416A-9C64-DEB41FEC133A}"/>
    <cellStyle name="Įprastas 5 4 6 2 3" xfId="2404" xr:uid="{3CBA991E-CDEF-4C64-A6A9-F7FA5A64A41F}"/>
    <cellStyle name="Įprastas 5 4 6 2 4" xfId="2987" xr:uid="{0B2719F6-8182-4921-BD30-E4266B81E04D}"/>
    <cellStyle name="Įprastas 5 4 6 2_8 priedas" xfId="1166" xr:uid="{00000000-0005-0000-0000-00003D040000}"/>
    <cellStyle name="Įprastas 5 4 6 3" xfId="388" xr:uid="{00000000-0005-0000-0000-00003E040000}"/>
    <cellStyle name="Įprastas 5 4 6 3 2" xfId="864" xr:uid="{00000000-0005-0000-0000-00003F040000}"/>
    <cellStyle name="Įprastas 5 4 6 3 2 2" xfId="2406" xr:uid="{40792702-CB0F-4730-992B-6F55AC477CA8}"/>
    <cellStyle name="Įprastas 5 4 6 3 2 3" xfId="3448" xr:uid="{70233042-6F78-49FC-A126-207EC6F3507D}"/>
    <cellStyle name="Įprastas 5 4 6 3 2_Lapas1" xfId="2405" xr:uid="{72531535-AE2D-493B-B439-18E401A913E6}"/>
    <cellStyle name="Įprastas 5 4 6 3 3" xfId="2407" xr:uid="{38E51159-2455-4C5D-8094-E36FEB423217}"/>
    <cellStyle name="Įprastas 5 4 6 3 4" xfId="2988" xr:uid="{826A696A-6446-443C-B2A5-38C11047CCA1}"/>
    <cellStyle name="Įprastas 5 4 6 3_8 priedas" xfId="1030" xr:uid="{00000000-0005-0000-0000-000040040000}"/>
    <cellStyle name="Įprastas 5 4 6 4" xfId="576" xr:uid="{00000000-0005-0000-0000-000041040000}"/>
    <cellStyle name="Įprastas 5 4 6 4 2" xfId="2409" xr:uid="{E7C40F76-5AF9-4114-B641-278CC3DBE794}"/>
    <cellStyle name="Įprastas 5 4 6 4 3" xfId="3160" xr:uid="{856AD2E4-4864-4129-B67C-F364C0BE40F9}"/>
    <cellStyle name="Įprastas 5 4 6 4_Lapas1" xfId="2408" xr:uid="{6D424660-3C80-4409-9661-C4BE1E486049}"/>
    <cellStyle name="Įprastas 5 4 6 5" xfId="2410" xr:uid="{3CBC43BB-A508-4254-8BD3-1F6CDE0C9D19}"/>
    <cellStyle name="Įprastas 5 4 6 6" xfId="2986" xr:uid="{B8B326BC-691C-4165-B50E-BBDF6EE0977E}"/>
    <cellStyle name="Įprastas 5 4 6_8 priedas" xfId="1303" xr:uid="{00000000-0005-0000-0000-000042040000}"/>
    <cellStyle name="Įprastas 5 4 7" xfId="389" xr:uid="{00000000-0005-0000-0000-000043040000}"/>
    <cellStyle name="Įprastas 5 4 7 2" xfId="624" xr:uid="{00000000-0005-0000-0000-000044040000}"/>
    <cellStyle name="Įprastas 5 4 7 2 2" xfId="2412" xr:uid="{BE432EE4-6032-4847-B639-E3BB6C1C27C6}"/>
    <cellStyle name="Įprastas 5 4 7 2 3" xfId="3208" xr:uid="{440CCFE3-C804-4827-9085-D054369E979A}"/>
    <cellStyle name="Įprastas 5 4 7 2_Lapas1" xfId="2411" xr:uid="{8FC0CC65-8C42-4761-9E68-76AAA55B0CA6}"/>
    <cellStyle name="Įprastas 5 4 7 3" xfId="2413" xr:uid="{B8E8C726-4703-4E82-B5AF-AD96EB3FFA96}"/>
    <cellStyle name="Įprastas 5 4 7 4" xfId="2989" xr:uid="{874EEAC2-4D67-48D6-B980-0DDF8E9FBD62}"/>
    <cellStyle name="Įprastas 5 4 7_8 priedas" xfId="1254" xr:uid="{00000000-0005-0000-0000-000045040000}"/>
    <cellStyle name="Įprastas 5 4 8" xfId="390" xr:uid="{00000000-0005-0000-0000-000046040000}"/>
    <cellStyle name="Įprastas 5 4 8 2" xfId="768" xr:uid="{00000000-0005-0000-0000-000047040000}"/>
    <cellStyle name="Įprastas 5 4 8 2 2" xfId="2415" xr:uid="{77BC1D0A-0A2A-42E4-B2CB-0286F6E9BF08}"/>
    <cellStyle name="Įprastas 5 4 8 2 3" xfId="3352" xr:uid="{A77AA183-3B5D-47C5-B06A-54B3AADE3F63}"/>
    <cellStyle name="Įprastas 5 4 8 2_Lapas1" xfId="2414" xr:uid="{C45AF850-448D-49D9-BD9B-6A88C380BB15}"/>
    <cellStyle name="Įprastas 5 4 8 3" xfId="2416" xr:uid="{2273FB1A-5C4D-4B73-B3C6-BF6B9724F8DC}"/>
    <cellStyle name="Įprastas 5 4 8 4" xfId="2990" xr:uid="{1AEA1152-BE73-40E8-9282-B18070C69237}"/>
    <cellStyle name="Įprastas 5 4 8_8 priedas" xfId="1118" xr:uid="{00000000-0005-0000-0000-000048040000}"/>
    <cellStyle name="Įprastas 5 4 9" xfId="480" xr:uid="{00000000-0005-0000-0000-000049040000}"/>
    <cellStyle name="Įprastas 5 4 9 2" xfId="2418" xr:uid="{57947466-B709-444B-9587-A8064565F6D7}"/>
    <cellStyle name="Įprastas 5 4 9 3" xfId="3064" xr:uid="{EB5BEDF3-82EE-42FA-BDE4-CCE4E9AB9A46}"/>
    <cellStyle name="Įprastas 5 4 9_Lapas1" xfId="2417" xr:uid="{457D682E-86D8-4F2F-99BB-534D300D2F75}"/>
    <cellStyle name="Įprastas 5 4_8 priedas" xfId="31" xr:uid="{00000000-0005-0000-0000-00004A040000}"/>
    <cellStyle name="Įprastas 5 5" xfId="22" xr:uid="{00000000-0005-0000-0000-00004B040000}"/>
    <cellStyle name="Įprastas 5 5 10" xfId="2633" xr:uid="{5057F248-AA5D-4224-BAF2-7FAF2667D283}"/>
    <cellStyle name="Įprastas 5 5 2" xfId="392" xr:uid="{00000000-0005-0000-0000-00004C040000}"/>
    <cellStyle name="Įprastas 5 5 2 2" xfId="393" xr:uid="{00000000-0005-0000-0000-00004D040000}"/>
    <cellStyle name="Įprastas 5 5 2 2 2" xfId="394" xr:uid="{00000000-0005-0000-0000-00004E040000}"/>
    <cellStyle name="Įprastas 5 5 2 2 2 2" xfId="395" xr:uid="{00000000-0005-0000-0000-00004F040000}"/>
    <cellStyle name="Įprastas 5 5 2 2 2 2 2" xfId="709" xr:uid="{00000000-0005-0000-0000-000050040000}"/>
    <cellStyle name="Įprastas 5 5 2 2 2 2 2 2" xfId="2420" xr:uid="{282EE9B8-A3F0-4B25-9DFC-CCFBAC647AA2}"/>
    <cellStyle name="Įprastas 5 5 2 2 2 2 2 3" xfId="3293" xr:uid="{F57D6D78-2A1D-4629-87A0-367D1ED683D1}"/>
    <cellStyle name="Įprastas 5 5 2 2 2 2 2_Lapas1" xfId="2419" xr:uid="{012E070F-D5EF-4AAC-9CEB-F63F0B262C5C}"/>
    <cellStyle name="Įprastas 5 5 2 2 2 2 3" xfId="2421" xr:uid="{5E2D4537-259D-4D97-A3EB-9FBEFF93DECD}"/>
    <cellStyle name="Įprastas 5 5 2 2 2 2 4" xfId="2994" xr:uid="{AB7EA798-02D4-4ADC-90B2-6004B4AD775E}"/>
    <cellStyle name="Įprastas 5 5 2 2 2 2_8 priedas" xfId="1053" xr:uid="{00000000-0005-0000-0000-000051040000}"/>
    <cellStyle name="Įprastas 5 5 2 2 2 3" xfId="396" xr:uid="{00000000-0005-0000-0000-000052040000}"/>
    <cellStyle name="Įprastas 5 5 2 2 2 3 2" xfId="853" xr:uid="{00000000-0005-0000-0000-000053040000}"/>
    <cellStyle name="Įprastas 5 5 2 2 2 3 2 2" xfId="2423" xr:uid="{D8F10BD9-F0DF-4463-B449-A6863384CDB4}"/>
    <cellStyle name="Įprastas 5 5 2 2 2 3 2 3" xfId="3437" xr:uid="{AEA4508F-386D-4E81-9FDA-D13AC8C082E6}"/>
    <cellStyle name="Įprastas 5 5 2 2 2 3 2_Lapas1" xfId="2422" xr:uid="{243E2E69-DC6D-4933-8746-80E7B8941FDA}"/>
    <cellStyle name="Įprastas 5 5 2 2 2 3 3" xfId="2424" xr:uid="{6BADB086-3972-48F6-8673-1282D13E1B15}"/>
    <cellStyle name="Įprastas 5 5 2 2 2 3 4" xfId="2995" xr:uid="{938B3944-F898-4824-83F9-A510DE8B6A85}"/>
    <cellStyle name="Įprastas 5 5 2 2 2 3_8 priedas" xfId="1277" xr:uid="{00000000-0005-0000-0000-000054040000}"/>
    <cellStyle name="Įprastas 5 5 2 2 2 4" xfId="565" xr:uid="{00000000-0005-0000-0000-000055040000}"/>
    <cellStyle name="Įprastas 5 5 2 2 2 4 2" xfId="2426" xr:uid="{F6926941-EF14-4AD3-8535-86BABCEF535E}"/>
    <cellStyle name="Įprastas 5 5 2 2 2 4 3" xfId="3149" xr:uid="{14379744-449E-4885-9C2A-ADB87DD29BFE}"/>
    <cellStyle name="Įprastas 5 5 2 2 2 4_Lapas1" xfId="2425" xr:uid="{1F5C3798-1910-49B4-B2C9-F4F28E14BA54}"/>
    <cellStyle name="Įprastas 5 5 2 2 2 5" xfId="2427" xr:uid="{C3F23238-D955-46E2-B3BD-EB9BE8738335}"/>
    <cellStyle name="Įprastas 5 5 2 2 2 6" xfId="2993" xr:uid="{43B8C1E9-4300-46A4-9FFD-4022F127ADA9}"/>
    <cellStyle name="Įprastas 5 5 2 2 2_8 priedas" xfId="1189" xr:uid="{00000000-0005-0000-0000-000056040000}"/>
    <cellStyle name="Įprastas 5 5 2 2 3" xfId="397" xr:uid="{00000000-0005-0000-0000-000057040000}"/>
    <cellStyle name="Įprastas 5 5 2 2 3 2" xfId="398" xr:uid="{00000000-0005-0000-0000-000058040000}"/>
    <cellStyle name="Įprastas 5 5 2 2 3 2 2" xfId="757" xr:uid="{00000000-0005-0000-0000-000059040000}"/>
    <cellStyle name="Įprastas 5 5 2 2 3 2 2 2" xfId="2429" xr:uid="{1DE0C2D7-90B6-4BAD-A03A-7C778BA941A1}"/>
    <cellStyle name="Įprastas 5 5 2 2 3 2 2 3" xfId="3341" xr:uid="{8DEF43B4-5F86-4217-8D2B-77EDA5895337}"/>
    <cellStyle name="Įprastas 5 5 2 2 3 2 2_Lapas1" xfId="2428" xr:uid="{B20156DE-0F24-4448-9EDC-34FB41C8D4E8}"/>
    <cellStyle name="Įprastas 5 5 2 2 3 2 3" xfId="2430" xr:uid="{315A77A4-7B45-42C3-8D95-EF7691605DFB}"/>
    <cellStyle name="Įprastas 5 5 2 2 3 2 4" xfId="2997" xr:uid="{E8AC1BF7-5C71-4AE3-B03F-824AEACFA76D}"/>
    <cellStyle name="Įprastas 5 5 2 2 3 2_8 priedas" xfId="1005" xr:uid="{00000000-0005-0000-0000-00005A040000}"/>
    <cellStyle name="Įprastas 5 5 2 2 3 3" xfId="399" xr:uid="{00000000-0005-0000-0000-00005B040000}"/>
    <cellStyle name="Įprastas 5 5 2 2 3 3 2" xfId="901" xr:uid="{00000000-0005-0000-0000-00005C040000}"/>
    <cellStyle name="Įprastas 5 5 2 2 3 3 2 2" xfId="2432" xr:uid="{7E2ECBBA-157C-4CEE-A93B-477BB674BB6C}"/>
    <cellStyle name="Įprastas 5 5 2 2 3 3 2 3" xfId="3485" xr:uid="{4D1D9380-E94F-4637-BD21-A0013D414C93}"/>
    <cellStyle name="Įprastas 5 5 2 2 3 3 2_Lapas1" xfId="2431" xr:uid="{C2C3E0E7-3A42-4268-9EAB-A99E0E2E2F23}"/>
    <cellStyle name="Įprastas 5 5 2 2 3 3 3" xfId="2433" xr:uid="{E507838B-3D2C-4A5D-AFE0-AE68F8B5AD66}"/>
    <cellStyle name="Įprastas 5 5 2 2 3 3 4" xfId="2998" xr:uid="{C2C98CFB-A2A8-487C-8212-5734B5B5F8EC}"/>
    <cellStyle name="Įprastas 5 5 2 2 3 3_8 priedas" xfId="964" xr:uid="{00000000-0005-0000-0000-00005D040000}"/>
    <cellStyle name="Įprastas 5 5 2 2 3 4" xfId="613" xr:uid="{00000000-0005-0000-0000-00005E040000}"/>
    <cellStyle name="Įprastas 5 5 2 2 3 4 2" xfId="2435" xr:uid="{73566FE5-7DFC-4DAD-976A-4E7A4257DB7D}"/>
    <cellStyle name="Įprastas 5 5 2 2 3 4 3" xfId="3197" xr:uid="{C8EF78BC-A2F4-4BC7-8067-3FBDEA204B18}"/>
    <cellStyle name="Įprastas 5 5 2 2 3 4_Lapas1" xfId="2434" xr:uid="{CBC55574-92CF-4699-98DF-0EBA138D6EF1}"/>
    <cellStyle name="Įprastas 5 5 2 2 3 5" xfId="2436" xr:uid="{F858B0D3-2F40-48E3-893A-93E94D06DE0F}"/>
    <cellStyle name="Įprastas 5 5 2 2 3 6" xfId="2996" xr:uid="{26E283ED-047C-4580-BCD6-11CD7060692F}"/>
    <cellStyle name="Įprastas 5 5 2 2 3_8 priedas" xfId="1141" xr:uid="{00000000-0005-0000-0000-00005F040000}"/>
    <cellStyle name="Įprastas 5 5 2 2 4" xfId="400" xr:uid="{00000000-0005-0000-0000-000060040000}"/>
    <cellStyle name="Įprastas 5 5 2 2 4 2" xfId="661" xr:uid="{00000000-0005-0000-0000-000061040000}"/>
    <cellStyle name="Įprastas 5 5 2 2 4 2 2" xfId="2438" xr:uid="{00A015E1-3890-47CB-8537-D650A55D0B61}"/>
    <cellStyle name="Įprastas 5 5 2 2 4 2 3" xfId="3245" xr:uid="{23EF3568-B64A-411A-B445-42C5E3263973}"/>
    <cellStyle name="Įprastas 5 5 2 2 4 2_Lapas1" xfId="2437" xr:uid="{5F983973-2038-4F0F-8B77-22931D98B256}"/>
    <cellStyle name="Įprastas 5 5 2 2 4 3" xfId="2439" xr:uid="{486E306F-3F22-41E2-B0F8-B877FA43D3BE}"/>
    <cellStyle name="Įprastas 5 5 2 2 4 4" xfId="2999" xr:uid="{C2882ED7-A244-4A8A-AB90-3695D97726F5}"/>
    <cellStyle name="Įprastas 5 5 2 2 4_8 priedas" xfId="935" xr:uid="{00000000-0005-0000-0000-000062040000}"/>
    <cellStyle name="Įprastas 5 5 2 2 5" xfId="401" xr:uid="{00000000-0005-0000-0000-000063040000}"/>
    <cellStyle name="Įprastas 5 5 2 2 5 2" xfId="805" xr:uid="{00000000-0005-0000-0000-000064040000}"/>
    <cellStyle name="Įprastas 5 5 2 2 5 2 2" xfId="2441" xr:uid="{9B5D6AE9-36BD-4DA3-AD42-F875BCC8ACC6}"/>
    <cellStyle name="Įprastas 5 5 2 2 5 2 3" xfId="3389" xr:uid="{CDDE77CD-9E04-423B-9F6E-9FCABD39E20C}"/>
    <cellStyle name="Įprastas 5 5 2 2 5 2_Lapas1" xfId="2440" xr:uid="{E7536ED3-8AB8-41E7-BE55-CB1B55D61AFD}"/>
    <cellStyle name="Įprastas 5 5 2 2 5 3" xfId="2442" xr:uid="{FA8FCDED-09B2-4665-909E-46B2F7186454}"/>
    <cellStyle name="Įprastas 5 5 2 2 5 4" xfId="3000" xr:uid="{DCDA639C-C826-4D1A-A678-C14C61882C14}"/>
    <cellStyle name="Įprastas 5 5 2 2 5_8 priedas" xfId="918" xr:uid="{00000000-0005-0000-0000-000065040000}"/>
    <cellStyle name="Įprastas 5 5 2 2 6" xfId="517" xr:uid="{00000000-0005-0000-0000-000066040000}"/>
    <cellStyle name="Įprastas 5 5 2 2 6 2" xfId="2444" xr:uid="{7E8A977F-DBAA-4FC6-9A4D-9E0EE6B0697D}"/>
    <cellStyle name="Įprastas 5 5 2 2 6 3" xfId="3101" xr:uid="{C501BAD8-D837-4D7A-B19C-D677D23E9E6D}"/>
    <cellStyle name="Įprastas 5 5 2 2 6_Lapas1" xfId="2443" xr:uid="{6B3C37B6-BFE3-403D-B498-47CDD66AF509}"/>
    <cellStyle name="Įprastas 5 5 2 2 7" xfId="2445" xr:uid="{B57341C9-DDF5-4CD2-A5B1-2D32BCA5A751}"/>
    <cellStyle name="Įprastas 5 5 2 2 8" xfId="2992" xr:uid="{1A48FE98-D4E9-403C-BFF1-0E71349F71C4}"/>
    <cellStyle name="Įprastas 5 5 2 2_8 priedas" xfId="1326" xr:uid="{00000000-0005-0000-0000-000067040000}"/>
    <cellStyle name="Įprastas 5 5 2 3" xfId="402" xr:uid="{00000000-0005-0000-0000-000068040000}"/>
    <cellStyle name="Įprastas 5 5 2 3 2" xfId="403" xr:uid="{00000000-0005-0000-0000-000069040000}"/>
    <cellStyle name="Įprastas 5 5 2 3 2 2" xfId="685" xr:uid="{00000000-0005-0000-0000-00006A040000}"/>
    <cellStyle name="Įprastas 5 5 2 3 2 2 2" xfId="2447" xr:uid="{383F8548-EDB1-48DD-88E9-0A9B3A6A361E}"/>
    <cellStyle name="Įprastas 5 5 2 3 2 2 3" xfId="3269" xr:uid="{B15B1BC4-962D-4A31-A005-1CA7BF94F714}"/>
    <cellStyle name="Įprastas 5 5 2 3 2 2_Lapas1" xfId="2446" xr:uid="{B5CE1D71-E75E-4C47-92B3-35419C9A4686}"/>
    <cellStyle name="Įprastas 5 5 2 3 2 3" xfId="2448" xr:uid="{966F05AA-DF3E-425B-BA00-E19B250440FB}"/>
    <cellStyle name="Įprastas 5 5 2 3 2 4" xfId="3002" xr:uid="{338CB172-89F2-4320-B9FD-EA978099BF90}"/>
    <cellStyle name="Įprastas 5 5 2 3 2_8 priedas" xfId="919" xr:uid="{00000000-0005-0000-0000-00006B040000}"/>
    <cellStyle name="Įprastas 5 5 2 3 3" xfId="404" xr:uid="{00000000-0005-0000-0000-00006C040000}"/>
    <cellStyle name="Įprastas 5 5 2 3 3 2" xfId="829" xr:uid="{00000000-0005-0000-0000-00006D040000}"/>
    <cellStyle name="Įprastas 5 5 2 3 3 2 2" xfId="2450" xr:uid="{CA0CD155-A60E-41E8-B13B-5D7CDEA274B2}"/>
    <cellStyle name="Įprastas 5 5 2 3 3 2 3" xfId="3413" xr:uid="{CDD8877F-A576-4588-8D2F-E7A8F54C0640}"/>
    <cellStyle name="Įprastas 5 5 2 3 3 2_Lapas1" xfId="2449" xr:uid="{E7156C88-620A-4697-B351-23E1E607A232}"/>
    <cellStyle name="Įprastas 5 5 2 3 3 3" xfId="2451" xr:uid="{AF4BF807-6CA8-44D9-B65F-5D3386E91F3E}"/>
    <cellStyle name="Įprastas 5 5 2 3 3 4" xfId="3003" xr:uid="{A9A07A85-0CB7-4E60-90D7-2B005361854E}"/>
    <cellStyle name="Įprastas 5 5 2 3 3_8 priedas" xfId="1190" xr:uid="{00000000-0005-0000-0000-00006E040000}"/>
    <cellStyle name="Įprastas 5 5 2 3 4" xfId="541" xr:uid="{00000000-0005-0000-0000-00006F040000}"/>
    <cellStyle name="Įprastas 5 5 2 3 4 2" xfId="2453" xr:uid="{DE850220-F119-413B-991D-AA7E737EAE11}"/>
    <cellStyle name="Įprastas 5 5 2 3 4 3" xfId="3125" xr:uid="{A0E6C4CA-A114-4E0B-A76E-D4CBB46DAC87}"/>
    <cellStyle name="Įprastas 5 5 2 3 4_Lapas1" xfId="2452" xr:uid="{D05AA8A5-7D55-4CDD-AA11-D9A56B58B867}"/>
    <cellStyle name="Įprastas 5 5 2 3 5" xfId="2454" xr:uid="{253EE8B7-3678-4CE2-AADA-1D4825B22ED9}"/>
    <cellStyle name="Įprastas 5 5 2 3 6" xfId="3001" xr:uid="{059B5DD5-C50B-4A84-A73E-1AE58022BC06}"/>
    <cellStyle name="Įprastas 5 5 2 3_8 priedas" xfId="908" xr:uid="{00000000-0005-0000-0000-000070040000}"/>
    <cellStyle name="Įprastas 5 5 2 4" xfId="405" xr:uid="{00000000-0005-0000-0000-000071040000}"/>
    <cellStyle name="Įprastas 5 5 2 4 2" xfId="406" xr:uid="{00000000-0005-0000-0000-000072040000}"/>
    <cellStyle name="Įprastas 5 5 2 4 2 2" xfId="733" xr:uid="{00000000-0005-0000-0000-000073040000}"/>
    <cellStyle name="Įprastas 5 5 2 4 2 2 2" xfId="2456" xr:uid="{29B4FC18-7137-4EB3-A167-06366F8B634B}"/>
    <cellStyle name="Įprastas 5 5 2 4 2 2 3" xfId="3317" xr:uid="{B87671A0-0E7F-4827-9ADB-2CE988951C97}"/>
    <cellStyle name="Įprastas 5 5 2 4 2 2_Lapas1" xfId="2455" xr:uid="{502EBA1B-4D99-4A07-8DC9-EA8A5A1B23FE}"/>
    <cellStyle name="Įprastas 5 5 2 4 2 3" xfId="2457" xr:uid="{BC445222-DD21-4FDA-B80F-273EC05D1487}"/>
    <cellStyle name="Įprastas 5 5 2 4 2 4" xfId="3005" xr:uid="{6B5BBC35-31D3-448E-9F4B-B643444C95F7}"/>
    <cellStyle name="Įprastas 5 5 2 4 2_8 priedas" xfId="1280" xr:uid="{00000000-0005-0000-0000-000074040000}"/>
    <cellStyle name="Įprastas 5 5 2 4 3" xfId="407" xr:uid="{00000000-0005-0000-0000-000075040000}"/>
    <cellStyle name="Įprastas 5 5 2 4 3 2" xfId="877" xr:uid="{00000000-0005-0000-0000-000076040000}"/>
    <cellStyle name="Įprastas 5 5 2 4 3 2 2" xfId="2459" xr:uid="{2089912A-4F62-4367-85A9-0B600D3FDE9D}"/>
    <cellStyle name="Įprastas 5 5 2 4 3 2 3" xfId="3461" xr:uid="{59507745-883D-4C93-925F-DE55E93C8332}"/>
    <cellStyle name="Įprastas 5 5 2 4 3 2_Lapas1" xfId="2458" xr:uid="{5974E88C-00C2-451B-9CE2-0DD268DD4444}"/>
    <cellStyle name="Įprastas 5 5 2 4 3 3" xfId="2460" xr:uid="{A1C09088-72A1-46EC-884A-7BF9602354CD}"/>
    <cellStyle name="Įprastas 5 5 2 4 3 4" xfId="3006" xr:uid="{F8332533-90E9-4BDB-A11E-36545D895821}"/>
    <cellStyle name="Įprastas 5 5 2 4 3_8 priedas" xfId="1144" xr:uid="{00000000-0005-0000-0000-000077040000}"/>
    <cellStyle name="Įprastas 5 5 2 4 4" xfId="589" xr:uid="{00000000-0005-0000-0000-000078040000}"/>
    <cellStyle name="Įprastas 5 5 2 4 4 2" xfId="2462" xr:uid="{5FBD7B4B-73FB-4586-94E9-6F8774402ECA}"/>
    <cellStyle name="Įprastas 5 5 2 4 4 3" xfId="3173" xr:uid="{26E301F5-1CC5-4FD6-8F8D-5E6D57E503A4}"/>
    <cellStyle name="Įprastas 5 5 2 4 4_Lapas1" xfId="2461" xr:uid="{E999DFDC-D7C7-4F9A-96CC-D970D65DAEF5}"/>
    <cellStyle name="Įprastas 5 5 2 4 5" xfId="2463" xr:uid="{11C0B5AA-BF1D-42B6-89F5-5C5C1151E42E}"/>
    <cellStyle name="Įprastas 5 5 2 4 6" xfId="3004" xr:uid="{F17DFC78-7416-43F0-8AAD-674456C144B4}"/>
    <cellStyle name="Įprastas 5 5 2 4_8 priedas" xfId="1055" xr:uid="{00000000-0005-0000-0000-000079040000}"/>
    <cellStyle name="Įprastas 5 5 2 5" xfId="408" xr:uid="{00000000-0005-0000-0000-00007A040000}"/>
    <cellStyle name="Įprastas 5 5 2 5 2" xfId="637" xr:uid="{00000000-0005-0000-0000-00007B040000}"/>
    <cellStyle name="Įprastas 5 5 2 5 2 2" xfId="2465" xr:uid="{7722312F-E599-4950-BAD2-9DDECC0994D1}"/>
    <cellStyle name="Įprastas 5 5 2 5 2 3" xfId="3221" xr:uid="{A87C1657-9FE9-4EDC-868C-23544C36EB11}"/>
    <cellStyle name="Įprastas 5 5 2 5 2_Lapas1" xfId="2464" xr:uid="{2C5030E2-ED19-42FA-8262-42D1AA7EBE8B}"/>
    <cellStyle name="Įprastas 5 5 2 5 3" xfId="2466" xr:uid="{B8BFE60A-2D30-4D99-A7ED-6867AB585303}"/>
    <cellStyle name="Įprastas 5 5 2 5 4" xfId="3007" xr:uid="{781FC9D8-2E87-45ED-923A-FB6AD5D29D09}"/>
    <cellStyle name="Įprastas 5 5 2 5_8 priedas" xfId="1008" xr:uid="{00000000-0005-0000-0000-00007C040000}"/>
    <cellStyle name="Įprastas 5 5 2 6" xfId="409" xr:uid="{00000000-0005-0000-0000-00007D040000}"/>
    <cellStyle name="Įprastas 5 5 2 6 2" xfId="781" xr:uid="{00000000-0005-0000-0000-00007E040000}"/>
    <cellStyle name="Įprastas 5 5 2 6 2 2" xfId="2468" xr:uid="{C5230C80-1F69-4477-8A35-94787063322A}"/>
    <cellStyle name="Įprastas 5 5 2 6 2 3" xfId="3365" xr:uid="{8D573001-8AD3-4BE5-AEB6-85D760315FFE}"/>
    <cellStyle name="Įprastas 5 5 2 6 2_Lapas1" xfId="2467" xr:uid="{34514AF5-A1ED-4035-9B0B-8DBCB00CA1C2}"/>
    <cellStyle name="Įprastas 5 5 2 6 3" xfId="2469" xr:uid="{2F6C50ED-B776-4C16-A43C-29E51F47F956}"/>
    <cellStyle name="Įprastas 5 5 2 6 4" xfId="3008" xr:uid="{98576C4B-484D-4DE6-91C7-246BC9466F6B}"/>
    <cellStyle name="Įprastas 5 5 2 6_8 priedas" xfId="1234" xr:uid="{00000000-0005-0000-0000-00007F040000}"/>
    <cellStyle name="Įprastas 5 5 2 7" xfId="493" xr:uid="{00000000-0005-0000-0000-000080040000}"/>
    <cellStyle name="Įprastas 5 5 2 7 2" xfId="2471" xr:uid="{1D21D67E-94B5-4456-9B92-0747D3673BBE}"/>
    <cellStyle name="Įprastas 5 5 2 7 3" xfId="3077" xr:uid="{21FFB1D6-D38B-4E9E-B056-2F55D958C706}"/>
    <cellStyle name="Įprastas 5 5 2 7_Lapas1" xfId="2470" xr:uid="{56823010-B5C7-4002-A32C-8D8F5032698F}"/>
    <cellStyle name="Įprastas 5 5 2 8" xfId="2472" xr:uid="{894D9133-52B5-4B0E-9250-009D7DDAA6BC}"/>
    <cellStyle name="Įprastas 5 5 2 9" xfId="2991" xr:uid="{5E0E93E2-A233-44C6-97C7-3D7E64B6F0D8}"/>
    <cellStyle name="Įprastas 5 5 2_8 priedas" xfId="1101" xr:uid="{00000000-0005-0000-0000-000081040000}"/>
    <cellStyle name="Įprastas 5 5 3" xfId="410" xr:uid="{00000000-0005-0000-0000-000082040000}"/>
    <cellStyle name="Įprastas 5 5 3 2" xfId="411" xr:uid="{00000000-0005-0000-0000-000083040000}"/>
    <cellStyle name="Įprastas 5 5 3 2 2" xfId="412" xr:uid="{00000000-0005-0000-0000-000084040000}"/>
    <cellStyle name="Įprastas 5 5 3 2 2 2" xfId="697" xr:uid="{00000000-0005-0000-0000-000085040000}"/>
    <cellStyle name="Įprastas 5 5 3 2 2 2 2" xfId="2474" xr:uid="{052DB9DE-5751-4125-95E2-FE789DBAA5FC}"/>
    <cellStyle name="Įprastas 5 5 3 2 2 2 3" xfId="3281" xr:uid="{5CB7CBAC-3314-4391-BC3D-62C12C47300F}"/>
    <cellStyle name="Įprastas 5 5 3 2 2 2_Lapas1" xfId="2473" xr:uid="{15E2F598-D616-48B5-A1C2-3871CE67B298}"/>
    <cellStyle name="Įprastas 5 5 3 2 2 3" xfId="2475" xr:uid="{A1E8A898-BCD2-4F3E-AF9E-C4702EA9D9CB}"/>
    <cellStyle name="Įprastas 5 5 3 2 2 4" xfId="3011" xr:uid="{D56BD5B9-F950-4E52-A36D-EB8E77399DB7}"/>
    <cellStyle name="Įprastas 5 5 3 2 2_8 priedas" xfId="1215" xr:uid="{00000000-0005-0000-0000-000086040000}"/>
    <cellStyle name="Įprastas 5 5 3 2 3" xfId="413" xr:uid="{00000000-0005-0000-0000-000087040000}"/>
    <cellStyle name="Įprastas 5 5 3 2 3 2" xfId="841" xr:uid="{00000000-0005-0000-0000-000088040000}"/>
    <cellStyle name="Įprastas 5 5 3 2 3 2 2" xfId="2477" xr:uid="{34CDF459-4326-4FA8-9C17-E7C4C72FBB21}"/>
    <cellStyle name="Įprastas 5 5 3 2 3 2 3" xfId="3425" xr:uid="{4B13ACBA-46EC-4CFF-89B6-306C0575F55E}"/>
    <cellStyle name="Įprastas 5 5 3 2 3 2_Lapas1" xfId="2476" xr:uid="{4CB35F56-6B2F-478B-B781-CAA427635A6A}"/>
    <cellStyle name="Įprastas 5 5 3 2 3 3" xfId="2478" xr:uid="{FC726A21-F148-425D-B07F-3D6D27856EF7}"/>
    <cellStyle name="Įprastas 5 5 3 2 3 4" xfId="3012" xr:uid="{B4F4FE17-FC10-4DE0-9FB6-26E49D2E4E50}"/>
    <cellStyle name="Įprastas 5 5 3 2 3_8 priedas" xfId="1081" xr:uid="{00000000-0005-0000-0000-000089040000}"/>
    <cellStyle name="Įprastas 5 5 3 2 4" xfId="553" xr:uid="{00000000-0005-0000-0000-00008A040000}"/>
    <cellStyle name="Įprastas 5 5 3 2 4 2" xfId="2480" xr:uid="{063CB08D-37A1-4B4B-8EDB-3AE65A91D5C3}"/>
    <cellStyle name="Įprastas 5 5 3 2 4 3" xfId="3137" xr:uid="{5CCBB03C-7816-4A46-8668-356556FDCD90}"/>
    <cellStyle name="Įprastas 5 5 3 2 4_Lapas1" xfId="2479" xr:uid="{5C4E69C4-7525-49BA-AEA5-654B74CCF226}"/>
    <cellStyle name="Įprastas 5 5 3 2 5" xfId="2481" xr:uid="{F02D0398-0509-4F3B-9993-D7C21CBF39B6}"/>
    <cellStyle name="Įprastas 5 5 3 2 6" xfId="3010" xr:uid="{30A6C649-E4D7-408E-B237-B3C64CA5441E}"/>
    <cellStyle name="Įprastas 5 5 3 2_8 priedas" xfId="967" xr:uid="{00000000-0005-0000-0000-00008B040000}"/>
    <cellStyle name="Įprastas 5 5 3 3" xfId="414" xr:uid="{00000000-0005-0000-0000-00008C040000}"/>
    <cellStyle name="Įprastas 5 5 3 3 2" xfId="415" xr:uid="{00000000-0005-0000-0000-00008D040000}"/>
    <cellStyle name="Įprastas 5 5 3 3 2 2" xfId="745" xr:uid="{00000000-0005-0000-0000-00008E040000}"/>
    <cellStyle name="Įprastas 5 5 3 3 2 2 2" xfId="2483" xr:uid="{23AD595D-1829-437C-9A78-A9F83AF3CFB2}"/>
    <cellStyle name="Įprastas 5 5 3 3 2 2 3" xfId="3329" xr:uid="{40A53A0D-5ED1-4ECB-A58D-B07E09C881DC}"/>
    <cellStyle name="Įprastas 5 5 3 3 2 2_Lapas1" xfId="2482" xr:uid="{29E6299E-25A3-4134-92CE-953A43B9621D}"/>
    <cellStyle name="Įprastas 5 5 3 3 2 3" xfId="2484" xr:uid="{99FAF5AA-A5AA-442F-B783-7C4FB136512F}"/>
    <cellStyle name="Įprastas 5 5 3 3 2 4" xfId="3014" xr:uid="{B4689388-2973-434A-B9B6-D6170A86C818}"/>
    <cellStyle name="Įprastas 5 5 3 3 2_8 priedas" xfId="1169" xr:uid="{00000000-0005-0000-0000-00008F040000}"/>
    <cellStyle name="Įprastas 5 5 3 3 3" xfId="416" xr:uid="{00000000-0005-0000-0000-000090040000}"/>
    <cellStyle name="Įprastas 5 5 3 3 3 2" xfId="889" xr:uid="{00000000-0005-0000-0000-000091040000}"/>
    <cellStyle name="Įprastas 5 5 3 3 3 2 2" xfId="2486" xr:uid="{22BDA5BD-96B3-4D51-9C28-8EF5AD32CA7E}"/>
    <cellStyle name="Įprastas 5 5 3 3 3 2 3" xfId="3473" xr:uid="{475C3218-6673-4944-A39F-DF3F8042F7E4}"/>
    <cellStyle name="Įprastas 5 5 3 3 3 2_Lapas1" xfId="2485" xr:uid="{38677E33-37FF-4348-8E2F-139722CF1E5D}"/>
    <cellStyle name="Įprastas 5 5 3 3 3 3" xfId="2487" xr:uid="{EDF3A589-56AA-4AD2-8FB5-42B765ACC88D}"/>
    <cellStyle name="Įprastas 5 5 3 3 3 4" xfId="3015" xr:uid="{29726B86-336D-4386-9DB2-04B21F71F5A7}"/>
    <cellStyle name="Įprastas 5 5 3 3 3_8 priedas" xfId="1033" xr:uid="{00000000-0005-0000-0000-000092040000}"/>
    <cellStyle name="Įprastas 5 5 3 3 4" xfId="601" xr:uid="{00000000-0005-0000-0000-000093040000}"/>
    <cellStyle name="Įprastas 5 5 3 3 4 2" xfId="2489" xr:uid="{6385D097-40CF-480D-8A7C-1FE20C65EB5C}"/>
    <cellStyle name="Įprastas 5 5 3 3 4 3" xfId="3185" xr:uid="{2BB70607-F841-4830-AE24-9D409442165D}"/>
    <cellStyle name="Įprastas 5 5 3 3 4_Lapas1" xfId="2488" xr:uid="{268E6BF5-A0E3-489F-A53C-4B55E232A6EE}"/>
    <cellStyle name="Įprastas 5 5 3 3 5" xfId="2490" xr:uid="{ABE384CF-C8D1-4A64-BB1D-D197D62B888D}"/>
    <cellStyle name="Įprastas 5 5 3 3 6" xfId="3013" xr:uid="{3CB5B7A3-B6C0-446E-B67D-7D28E037D7F6}"/>
    <cellStyle name="Įprastas 5 5 3 3_8 priedas" xfId="1306" xr:uid="{00000000-0005-0000-0000-000094040000}"/>
    <cellStyle name="Įprastas 5 5 3 4" xfId="417" xr:uid="{00000000-0005-0000-0000-000095040000}"/>
    <cellStyle name="Įprastas 5 5 3 4 2" xfId="649" xr:uid="{00000000-0005-0000-0000-000096040000}"/>
    <cellStyle name="Įprastas 5 5 3 4 2 2" xfId="2492" xr:uid="{6DC25C91-0731-4075-B748-7AD5C3EA9AFE}"/>
    <cellStyle name="Įprastas 5 5 3 4 2 3" xfId="3233" xr:uid="{249852A0-F3AB-4761-8A5D-2847C25D9E99}"/>
    <cellStyle name="Įprastas 5 5 3 4 2_Lapas1" xfId="2491" xr:uid="{B8E6D5AC-32B1-4942-92BD-43F7F092F733}"/>
    <cellStyle name="Įprastas 5 5 3 4 3" xfId="2493" xr:uid="{8E93EDCE-9579-4A70-9415-71721F913ABD}"/>
    <cellStyle name="Įprastas 5 5 3 4 4" xfId="3016" xr:uid="{5933A06A-8342-4BC5-877E-8C30B87F44FE}"/>
    <cellStyle name="Įprastas 5 5 3 4_8 priedas" xfId="1257" xr:uid="{00000000-0005-0000-0000-000097040000}"/>
    <cellStyle name="Įprastas 5 5 3 5" xfId="418" xr:uid="{00000000-0005-0000-0000-000098040000}"/>
    <cellStyle name="Įprastas 5 5 3 5 2" xfId="793" xr:uid="{00000000-0005-0000-0000-000099040000}"/>
    <cellStyle name="Įprastas 5 5 3 5 2 2" xfId="2495" xr:uid="{9A0E1D37-4D8B-4B41-B98F-ABD16B30E566}"/>
    <cellStyle name="Įprastas 5 5 3 5 2 3" xfId="3377" xr:uid="{D520CD58-1D32-4338-8F1C-1A39EC282615}"/>
    <cellStyle name="Įprastas 5 5 3 5 2_Lapas1" xfId="2494" xr:uid="{4C37ED98-2810-4181-BD0B-CC56E3456D1E}"/>
    <cellStyle name="Įprastas 5 5 3 5 3" xfId="2496" xr:uid="{AAF6416C-C047-45A5-A972-D8DA42A55CBF}"/>
    <cellStyle name="Įprastas 5 5 3 5 4" xfId="3017" xr:uid="{2D449E60-4FF1-476D-B8E5-3BC67CE64B8F}"/>
    <cellStyle name="Įprastas 5 5 3 5_8 priedas" xfId="1121" xr:uid="{00000000-0005-0000-0000-00009A040000}"/>
    <cellStyle name="Įprastas 5 5 3 6" xfId="505" xr:uid="{00000000-0005-0000-0000-00009B040000}"/>
    <cellStyle name="Įprastas 5 5 3 6 2" xfId="2498" xr:uid="{25B0EBFF-44E8-4001-8755-955FDAAB25C8}"/>
    <cellStyle name="Įprastas 5 5 3 6 3" xfId="3089" xr:uid="{CE24D0C4-4F78-46B8-8F12-23209159D864}"/>
    <cellStyle name="Įprastas 5 5 3 6_Lapas1" xfId="2497" xr:uid="{B095AB43-737A-42DA-9685-89B639BA7E27}"/>
    <cellStyle name="Įprastas 5 5 3 7" xfId="2499" xr:uid="{020F7A1E-9BAD-4787-A099-23D588B0C8D3}"/>
    <cellStyle name="Įprastas 5 5 3 8" xfId="3009" xr:uid="{F741499B-791F-458D-8A24-4FCB44E373C6}"/>
    <cellStyle name="Įprastas 5 5 3_8 priedas" xfId="1104" xr:uid="{00000000-0005-0000-0000-00009C040000}"/>
    <cellStyle name="Įprastas 5 5 4" xfId="419" xr:uid="{00000000-0005-0000-0000-00009D040000}"/>
    <cellStyle name="Įprastas 5 5 4 2" xfId="420" xr:uid="{00000000-0005-0000-0000-00009E040000}"/>
    <cellStyle name="Įprastas 5 5 4 2 2" xfId="673" xr:uid="{00000000-0005-0000-0000-00009F040000}"/>
    <cellStyle name="Įprastas 5 5 4 2 2 2" xfId="2501" xr:uid="{3004E76A-0079-4B28-A32B-522E36AB5D47}"/>
    <cellStyle name="Įprastas 5 5 4 2 2 3" xfId="3257" xr:uid="{B38F3621-BFF0-483E-B452-2F7ED47E836E}"/>
    <cellStyle name="Įprastas 5 5 4 2 2_Lapas1" xfId="2500" xr:uid="{C4AE45E0-0A8D-4DA4-89A8-D8F64DD487B9}"/>
    <cellStyle name="Įprastas 5 5 4 2 3" xfId="2502" xr:uid="{7881C816-3B5A-45D4-BE53-110F036D7796}"/>
    <cellStyle name="Įprastas 5 5 4 2 4" xfId="3019" xr:uid="{9B3D69FC-6E03-45EC-B47F-76CEDC3CF513}"/>
    <cellStyle name="Įprastas 5 5 4 2_8 priedas" xfId="944" xr:uid="{00000000-0005-0000-0000-0000A0040000}"/>
    <cellStyle name="Įprastas 5 5 4 3" xfId="421" xr:uid="{00000000-0005-0000-0000-0000A1040000}"/>
    <cellStyle name="Įprastas 5 5 4 3 2" xfId="817" xr:uid="{00000000-0005-0000-0000-0000A2040000}"/>
    <cellStyle name="Įprastas 5 5 4 3 2 2" xfId="2504" xr:uid="{FB1EC24D-BA69-41A3-A7F5-FE0B744699EF}"/>
    <cellStyle name="Įprastas 5 5 4 3 2 3" xfId="3401" xr:uid="{7055572D-A7E2-4ADA-9F64-DBE7784902CE}"/>
    <cellStyle name="Įprastas 5 5 4 3 2_Lapas1" xfId="2503" xr:uid="{044267B9-3C1B-4922-85C1-5056EEC509BD}"/>
    <cellStyle name="Įprastas 5 5 4 3 3" xfId="2505" xr:uid="{1D7CA51E-D6ED-49EC-97BF-E62C0305710C}"/>
    <cellStyle name="Įprastas 5 5 4 3 4" xfId="3020" xr:uid="{09E61B68-57DF-4C86-9EF6-E2E5ED73137A}"/>
    <cellStyle name="Įprastas 5 5 4 3_8 priedas" xfId="1203" xr:uid="{00000000-0005-0000-0000-0000A3040000}"/>
    <cellStyle name="Įprastas 5 5 4 4" xfId="529" xr:uid="{00000000-0005-0000-0000-0000A4040000}"/>
    <cellStyle name="Įprastas 5 5 4 4 2" xfId="2507" xr:uid="{A0CEB153-1FFF-44E3-A21F-0639B5144799}"/>
    <cellStyle name="Įprastas 5 5 4 4 3" xfId="3113" xr:uid="{DAFD731B-0FC0-4102-A853-BEBDF5B76923}"/>
    <cellStyle name="Įprastas 5 5 4 4_Lapas1" xfId="2506" xr:uid="{AB5DFA42-19BF-49DD-B7CF-E321E0433C44}"/>
    <cellStyle name="Įprastas 5 5 4 5" xfId="2508" xr:uid="{5E0BE0BF-184D-4C15-B85F-FE0E91F020E5}"/>
    <cellStyle name="Įprastas 5 5 4 6" xfId="3018" xr:uid="{3E7FE7C0-A17A-42CF-BC8F-B48E47450C21}"/>
    <cellStyle name="Įprastas 5 5 4_8 priedas" xfId="985" xr:uid="{00000000-0005-0000-0000-0000A5040000}"/>
    <cellStyle name="Įprastas 5 5 5" xfId="422" xr:uid="{00000000-0005-0000-0000-0000A6040000}"/>
    <cellStyle name="Įprastas 5 5 5 2" xfId="423" xr:uid="{00000000-0005-0000-0000-0000A7040000}"/>
    <cellStyle name="Įprastas 5 5 5 2 2" xfId="721" xr:uid="{00000000-0005-0000-0000-0000A8040000}"/>
    <cellStyle name="Įprastas 5 5 5 2 2 2" xfId="2510" xr:uid="{0F9D7895-1837-4ECB-9F74-47253EFAD8B8}"/>
    <cellStyle name="Įprastas 5 5 5 2 2 3" xfId="3305" xr:uid="{D954A7AF-D99E-47C1-B013-BB1E0CFABEEA}"/>
    <cellStyle name="Įprastas 5 5 5 2 2_Lapas1" xfId="2509" xr:uid="{D99D5267-37E2-4A8B-B160-B74D7BD0363F}"/>
    <cellStyle name="Įprastas 5 5 5 2 3" xfId="2511" xr:uid="{4FEF86C2-18E8-4B3B-A1FC-9C833A55BC55}"/>
    <cellStyle name="Įprastas 5 5 5 2 4" xfId="3022" xr:uid="{33C57A41-5612-4758-9E95-225991888690}"/>
    <cellStyle name="Įprastas 5 5 5 2_8 priedas" xfId="1294" xr:uid="{00000000-0005-0000-0000-0000A9040000}"/>
    <cellStyle name="Įprastas 5 5 5 3" xfId="424" xr:uid="{00000000-0005-0000-0000-0000AA040000}"/>
    <cellStyle name="Įprastas 5 5 5 3 2" xfId="865" xr:uid="{00000000-0005-0000-0000-0000AB040000}"/>
    <cellStyle name="Įprastas 5 5 5 3 2 2" xfId="2513" xr:uid="{32A8E8E4-2D44-430E-913A-CA32D33F4118}"/>
    <cellStyle name="Įprastas 5 5 5 3 2 3" xfId="3449" xr:uid="{B028B9F4-D1B0-403F-A2CD-4B3ED193DC78}"/>
    <cellStyle name="Įprastas 5 5 5 3 2_Lapas1" xfId="2512" xr:uid="{B17B5525-47DA-46FC-9B77-A425D89C0D8E}"/>
    <cellStyle name="Įprastas 5 5 5 3 3" xfId="2514" xr:uid="{67DB0046-DF97-4B73-BA1E-108E88530D01}"/>
    <cellStyle name="Įprastas 5 5 5 3 4" xfId="3023" xr:uid="{3DCA95CA-49A0-41F2-AC34-D9B1F7A4732A}"/>
    <cellStyle name="Įprastas 5 5 5 3_8 priedas" xfId="1157" xr:uid="{00000000-0005-0000-0000-0000AC040000}"/>
    <cellStyle name="Įprastas 5 5 5 4" xfId="577" xr:uid="{00000000-0005-0000-0000-0000AD040000}"/>
    <cellStyle name="Įprastas 5 5 5 4 2" xfId="2516" xr:uid="{902AADB6-6A9D-4C0E-8622-D62C3AD34290}"/>
    <cellStyle name="Įprastas 5 5 5 4 3" xfId="3161" xr:uid="{22728A2B-24AA-4AD4-9F7D-3DAAC19C9CE7}"/>
    <cellStyle name="Įprastas 5 5 5 4_Lapas1" xfId="2515" xr:uid="{BC220E68-1E6E-47C1-9E60-89C966368C79}"/>
    <cellStyle name="Įprastas 5 5 5 5" xfId="2517" xr:uid="{91B0CC3C-7F51-4B6A-BBED-A17B9BBF211B}"/>
    <cellStyle name="Įprastas 5 5 5 6" xfId="3021" xr:uid="{88885CE6-0394-4671-BF0C-F496F59653A5}"/>
    <cellStyle name="Įprastas 5 5 5_8 priedas" xfId="1069" xr:uid="{00000000-0005-0000-0000-0000AE040000}"/>
    <cellStyle name="Įprastas 5 5 6" xfId="425" xr:uid="{00000000-0005-0000-0000-0000AF040000}"/>
    <cellStyle name="Įprastas 5 5 6 2" xfId="625" xr:uid="{00000000-0005-0000-0000-0000B0040000}"/>
    <cellStyle name="Įprastas 5 5 6 2 2" xfId="2519" xr:uid="{28CF2896-633B-4C5D-A1FA-665BA66B7F83}"/>
    <cellStyle name="Įprastas 5 5 6 2 3" xfId="3209" xr:uid="{6B204B58-FDE7-43A1-96B4-344F97DDAC44}"/>
    <cellStyle name="Įprastas 5 5 6 2_Lapas1" xfId="2518" xr:uid="{C010F42B-3705-4915-B5EF-2E3160CA3626}"/>
    <cellStyle name="Įprastas 5 5 6 3" xfId="2520" xr:uid="{84896BAC-79AA-4FF6-901E-5957F0011AF0}"/>
    <cellStyle name="Įprastas 5 5 6 4" xfId="3024" xr:uid="{A2B0A193-E1D5-4274-A1C2-E29B89F90EA7}"/>
    <cellStyle name="Įprastas 5 5 6_8 priedas" xfId="1022" xr:uid="{00000000-0005-0000-0000-0000B1040000}"/>
    <cellStyle name="Įprastas 5 5 7" xfId="426" xr:uid="{00000000-0005-0000-0000-0000B2040000}"/>
    <cellStyle name="Įprastas 5 5 7 2" xfId="769" xr:uid="{00000000-0005-0000-0000-0000B3040000}"/>
    <cellStyle name="Įprastas 5 5 7 2 2" xfId="2522" xr:uid="{175633C1-9DB8-4023-83CD-12DCD178DEA5}"/>
    <cellStyle name="Įprastas 5 5 7 2 3" xfId="3353" xr:uid="{86E74564-864E-4761-A328-D4A3B7181107}"/>
    <cellStyle name="Įprastas 5 5 7 2_Lapas1" xfId="2521" xr:uid="{8998820B-3B14-4D07-9CFB-D29AFFF88D52}"/>
    <cellStyle name="Įprastas 5 5 7 3" xfId="2523" xr:uid="{6F43F92B-0A0F-4AD6-9E34-941DB1937226}"/>
    <cellStyle name="Įprastas 5 5 7 4" xfId="3025" xr:uid="{EB766372-9B02-4B39-A352-51B783C49175}"/>
    <cellStyle name="Įprastas 5 5 7_8 priedas" xfId="1247" xr:uid="{00000000-0005-0000-0000-0000B4040000}"/>
    <cellStyle name="Įprastas 5 5 8" xfId="481" xr:uid="{00000000-0005-0000-0000-0000B5040000}"/>
    <cellStyle name="Įprastas 5 5 8 2" xfId="2525" xr:uid="{7C7D1402-AA94-4130-952B-976391DD8805}"/>
    <cellStyle name="Įprastas 5 5 8 3" xfId="3065" xr:uid="{B7E97BA5-B642-47D5-A812-5018A31915E8}"/>
    <cellStyle name="Įprastas 5 5 8_Lapas1" xfId="2524" xr:uid="{937D25B0-25D8-4F0D-B6C1-9AA59E3B3985}"/>
    <cellStyle name="Įprastas 5 5 9" xfId="2526" xr:uid="{24D47CEE-5F81-46A3-9FE2-5CDAADD86573}"/>
    <cellStyle name="Įprastas 5 5_8 priedas" xfId="391" xr:uid="{00000000-0005-0000-0000-0000B6040000}"/>
    <cellStyle name="Įprastas 5 6" xfId="427" xr:uid="{00000000-0005-0000-0000-0000B7040000}"/>
    <cellStyle name="Įprastas 5 6 2" xfId="428" xr:uid="{00000000-0005-0000-0000-0000B8040000}"/>
    <cellStyle name="Įprastas 5 6 2 2" xfId="429" xr:uid="{00000000-0005-0000-0000-0000B9040000}"/>
    <cellStyle name="Įprastas 5 6 2 2 2" xfId="430" xr:uid="{00000000-0005-0000-0000-0000BA040000}"/>
    <cellStyle name="Įprastas 5 6 2 2 2 2" xfId="703" xr:uid="{00000000-0005-0000-0000-0000BB040000}"/>
    <cellStyle name="Įprastas 5 6 2 2 2 2 2" xfId="2528" xr:uid="{61DC4365-11CA-43A7-AED0-AA6C6D8AF892}"/>
    <cellStyle name="Įprastas 5 6 2 2 2 2 3" xfId="3287" xr:uid="{8EA57665-5D7F-4D59-A509-A8DE286030D5}"/>
    <cellStyle name="Įprastas 5 6 2 2 2 2_Lapas1" xfId="2527" xr:uid="{A7C83086-0275-4107-BAF7-1F794A3319EE}"/>
    <cellStyle name="Įprastas 5 6 2 2 2 3" xfId="2529" xr:uid="{7468C4B4-831F-4DFA-AB8C-943FB531FC8D}"/>
    <cellStyle name="Įprastas 5 6 2 2 2 4" xfId="3029" xr:uid="{E52BB572-9BD7-4B8C-A5F4-FB4BBD1C3F6F}"/>
    <cellStyle name="Įprastas 5 6 2 2 2_8 priedas" xfId="1318" xr:uid="{00000000-0005-0000-0000-0000BC040000}"/>
    <cellStyle name="Įprastas 5 6 2 2 3" xfId="431" xr:uid="{00000000-0005-0000-0000-0000BD040000}"/>
    <cellStyle name="Įprastas 5 6 2 2 3 2" xfId="847" xr:uid="{00000000-0005-0000-0000-0000BE040000}"/>
    <cellStyle name="Įprastas 5 6 2 2 3 2 2" xfId="2531" xr:uid="{30B47A71-022B-468F-899E-792524F7878F}"/>
    <cellStyle name="Įprastas 5 6 2 2 3 2 3" xfId="3431" xr:uid="{8E77A301-5E3C-444A-9651-6A1A6ED70AA4}"/>
    <cellStyle name="Įprastas 5 6 2 2 3 2_Lapas1" xfId="2530" xr:uid="{59493509-C8E0-4F17-9A31-6C9C6B196C6D}"/>
    <cellStyle name="Įprastas 5 6 2 2 3 3" xfId="2532" xr:uid="{B4E736B2-9CC4-4FBE-A91A-6ED26EBA8B7A}"/>
    <cellStyle name="Įprastas 5 6 2 2 3 4" xfId="3030" xr:uid="{715AC3E7-4BC4-4481-84E3-3EE0A3AEE74B}"/>
    <cellStyle name="Įprastas 5 6 2 2 3_8 priedas" xfId="1181" xr:uid="{00000000-0005-0000-0000-0000BF040000}"/>
    <cellStyle name="Įprastas 5 6 2 2 4" xfId="559" xr:uid="{00000000-0005-0000-0000-0000C0040000}"/>
    <cellStyle name="Įprastas 5 6 2 2 4 2" xfId="2534" xr:uid="{9E6370FD-5E60-449F-9B39-FA82AA7BF5B0}"/>
    <cellStyle name="Įprastas 5 6 2 2 4 3" xfId="3143" xr:uid="{0BD0E691-0E97-4A97-BB4D-116408DDE8EE}"/>
    <cellStyle name="Įprastas 5 6 2 2 4_Lapas1" xfId="2533" xr:uid="{DFBA3846-7854-4923-AC0D-0739D42EC152}"/>
    <cellStyle name="Įprastas 5 6 2 2 5" xfId="2535" xr:uid="{4DFD7CE9-1165-487D-8C7E-178833C19492}"/>
    <cellStyle name="Įprastas 5 6 2 2 6" xfId="3028" xr:uid="{E99C461B-B4B2-4915-857A-A17DC6658632}"/>
    <cellStyle name="Įprastas 5 6 2 2_8 priedas" xfId="1093" xr:uid="{00000000-0005-0000-0000-0000C1040000}"/>
    <cellStyle name="Įprastas 5 6 2 3" xfId="432" xr:uid="{00000000-0005-0000-0000-0000C2040000}"/>
    <cellStyle name="Įprastas 5 6 2 3 2" xfId="433" xr:uid="{00000000-0005-0000-0000-0000C3040000}"/>
    <cellStyle name="Įprastas 5 6 2 3 2 2" xfId="751" xr:uid="{00000000-0005-0000-0000-0000C4040000}"/>
    <cellStyle name="Įprastas 5 6 2 3 2 2 2" xfId="2537" xr:uid="{0E0E9BF5-1030-4ADA-BF51-B6073B000D8F}"/>
    <cellStyle name="Įprastas 5 6 2 3 2 2 3" xfId="3335" xr:uid="{4E208821-257E-4FC9-A6DF-D80921E7E32C}"/>
    <cellStyle name="Įprastas 5 6 2 3 2 2_Lapas1" xfId="2536" xr:uid="{C95964C8-9385-429A-9B7A-395129D6692E}"/>
    <cellStyle name="Įprastas 5 6 2 3 2 3" xfId="2538" xr:uid="{B28CC7F0-E9A5-4694-BFD1-8AD4FA8D3D98}"/>
    <cellStyle name="Įprastas 5 6 2 3 2 4" xfId="3032" xr:uid="{B6EAA3AA-1A38-47B4-AD2C-3561D21767A5}"/>
    <cellStyle name="Įprastas 5 6 2 3 2_8 priedas" xfId="1269" xr:uid="{00000000-0005-0000-0000-0000C5040000}"/>
    <cellStyle name="Įprastas 5 6 2 3 3" xfId="434" xr:uid="{00000000-0005-0000-0000-0000C6040000}"/>
    <cellStyle name="Įprastas 5 6 2 3 3 2" xfId="895" xr:uid="{00000000-0005-0000-0000-0000C7040000}"/>
    <cellStyle name="Įprastas 5 6 2 3 3 2 2" xfId="2540" xr:uid="{0DA15653-DAC4-4F33-93C8-546DE4CD8CA5}"/>
    <cellStyle name="Įprastas 5 6 2 3 3 2 3" xfId="3479" xr:uid="{FC09A04E-11B4-4E47-8668-8DA6F363409A}"/>
    <cellStyle name="Įprastas 5 6 2 3 3 2_Lapas1" xfId="2539" xr:uid="{127B7B8B-D0D0-485C-A34D-EB33C19B697C}"/>
    <cellStyle name="Įprastas 5 6 2 3 3 3" xfId="2541" xr:uid="{1476C8DF-305B-4846-8584-ABECA6257EC4}"/>
    <cellStyle name="Įprastas 5 6 2 3 3 4" xfId="3033" xr:uid="{54681C73-2622-412D-AFCC-360CCB3754F0}"/>
    <cellStyle name="Įprastas 5 6 2 3 3_8 priedas" xfId="1133" xr:uid="{00000000-0005-0000-0000-0000C8040000}"/>
    <cellStyle name="Įprastas 5 6 2 3 4" xfId="607" xr:uid="{00000000-0005-0000-0000-0000C9040000}"/>
    <cellStyle name="Įprastas 5 6 2 3 4 2" xfId="2543" xr:uid="{3FD97057-00EB-4556-9D61-7C47BBA3F5A9}"/>
    <cellStyle name="Įprastas 5 6 2 3 4 3" xfId="3191" xr:uid="{77A7EC60-F48D-4181-9A6F-4D5F850F5311}"/>
    <cellStyle name="Įprastas 5 6 2 3 4_Lapas1" xfId="2542" xr:uid="{77538423-10D4-48CB-8220-6EC68E46FF40}"/>
    <cellStyle name="Įprastas 5 6 2 3 5" xfId="2544" xr:uid="{8CAA39BB-0048-4AA1-9D34-060B8C622F36}"/>
    <cellStyle name="Įprastas 5 6 2 3 6" xfId="3031" xr:uid="{75F63336-5249-4D32-A5F7-A90C3EB784AA}"/>
    <cellStyle name="Įprastas 5 6 2 3_8 priedas" xfId="1045" xr:uid="{00000000-0005-0000-0000-0000CA040000}"/>
    <cellStyle name="Įprastas 5 6 2 4" xfId="435" xr:uid="{00000000-0005-0000-0000-0000CB040000}"/>
    <cellStyle name="Įprastas 5 6 2 4 2" xfId="655" xr:uid="{00000000-0005-0000-0000-0000CC040000}"/>
    <cellStyle name="Įprastas 5 6 2 4 2 2" xfId="2546" xr:uid="{A641B8FE-A4C4-4A42-B646-96228A7EA592}"/>
    <cellStyle name="Įprastas 5 6 2 4 2 3" xfId="3239" xr:uid="{A0614D68-C64C-4AD6-942E-92B9FE883CDA}"/>
    <cellStyle name="Įprastas 5 6 2 4 2_Lapas1" xfId="2545" xr:uid="{78F18A30-2A1F-4A94-A218-0F8E966957CD}"/>
    <cellStyle name="Įprastas 5 6 2 4 3" xfId="2547" xr:uid="{308C7A65-6078-4F5D-9A3A-089FEC001184}"/>
    <cellStyle name="Įprastas 5 6 2 4 4" xfId="3034" xr:uid="{FC002266-B008-470D-9975-5352BD0B43C4}"/>
    <cellStyle name="Įprastas 5 6 2 4_8 priedas" xfId="997" xr:uid="{00000000-0005-0000-0000-0000CD040000}"/>
    <cellStyle name="Įprastas 5 6 2 5" xfId="436" xr:uid="{00000000-0005-0000-0000-0000CE040000}"/>
    <cellStyle name="Įprastas 5 6 2 5 2" xfId="799" xr:uid="{00000000-0005-0000-0000-0000CF040000}"/>
    <cellStyle name="Įprastas 5 6 2 5 2 2" xfId="2549" xr:uid="{B5255A4E-E05E-4306-A645-BC792BB9D491}"/>
    <cellStyle name="Įprastas 5 6 2 5 2 3" xfId="3383" xr:uid="{FF40C561-76E4-4BAD-ACA4-A61B1774B5D8}"/>
    <cellStyle name="Įprastas 5 6 2 5 2_Lapas1" xfId="2548" xr:uid="{38D242DA-0C0C-4FE6-BF73-9D803A172140}"/>
    <cellStyle name="Įprastas 5 6 2 5 3" xfId="2550" xr:uid="{04836035-7297-4569-8960-9EF9472D6661}"/>
    <cellStyle name="Įprastas 5 6 2 5 4" xfId="3035" xr:uid="{8A72ED50-4D9C-486A-BFFB-57BE8832D7D2}"/>
    <cellStyle name="Įprastas 5 6 2 5_8 priedas" xfId="956" xr:uid="{00000000-0005-0000-0000-0000D0040000}"/>
    <cellStyle name="Įprastas 5 6 2 6" xfId="511" xr:uid="{00000000-0005-0000-0000-0000D1040000}"/>
    <cellStyle name="Įprastas 5 6 2 6 2" xfId="2552" xr:uid="{E28A46B6-996E-48F9-99C8-2B206FCA2989}"/>
    <cellStyle name="Įprastas 5 6 2 6 3" xfId="3095" xr:uid="{FEB50A27-50D5-4C2F-AB12-C0D8C558D12C}"/>
    <cellStyle name="Įprastas 5 6 2 6_Lapas1" xfId="2551" xr:uid="{93E4C0BC-4206-4EBC-90B6-0A2112DAAF82}"/>
    <cellStyle name="Įprastas 5 6 2 7" xfId="2553" xr:uid="{07F8D05A-C280-4A02-BB6D-BFDEB9EF4629}"/>
    <cellStyle name="Įprastas 5 6 2 8" xfId="3027" xr:uid="{C5BA5956-88B4-4609-801E-A286268E776D}"/>
    <cellStyle name="Įprastas 5 6 2_8 priedas" xfId="1227" xr:uid="{00000000-0005-0000-0000-0000D2040000}"/>
    <cellStyle name="Įprastas 5 6 3" xfId="437" xr:uid="{00000000-0005-0000-0000-0000D3040000}"/>
    <cellStyle name="Įprastas 5 6 3 2" xfId="438" xr:uid="{00000000-0005-0000-0000-0000D4040000}"/>
    <cellStyle name="Įprastas 5 6 3 2 2" xfId="679" xr:uid="{00000000-0005-0000-0000-0000D5040000}"/>
    <cellStyle name="Įprastas 5 6 3 2 2 2" xfId="2555" xr:uid="{0AD57038-EB1D-45B7-B86F-42BDA44BB726}"/>
    <cellStyle name="Įprastas 5 6 3 2 2 3" xfId="3263" xr:uid="{D1B3F79D-84AE-4397-B266-9E527E5E1566}"/>
    <cellStyle name="Įprastas 5 6 3 2 2_Lapas1" xfId="2554" xr:uid="{384ADB8D-D7F1-4008-9596-C8E2A6072754}"/>
    <cellStyle name="Įprastas 5 6 3 2 3" xfId="2556" xr:uid="{787C25B3-C380-430D-91A3-10569698E533}"/>
    <cellStyle name="Įprastas 5 6 3 2 4" xfId="3037" xr:uid="{9F66A96E-433B-450B-998E-3E89ABF1ED64}"/>
    <cellStyle name="Įprastas 5 6 3 2_8 priedas" xfId="936" xr:uid="{00000000-0005-0000-0000-0000D6040000}"/>
    <cellStyle name="Įprastas 5 6 3 3" xfId="439" xr:uid="{00000000-0005-0000-0000-0000D7040000}"/>
    <cellStyle name="Įprastas 5 6 3 3 2" xfId="823" xr:uid="{00000000-0005-0000-0000-0000D8040000}"/>
    <cellStyle name="Įprastas 5 6 3 3 2 2" xfId="2558" xr:uid="{12508957-C8D4-41B3-BDC8-295FD56D8C9C}"/>
    <cellStyle name="Įprastas 5 6 3 3 2 3" xfId="3407" xr:uid="{AF5996F8-2095-4FEB-99BF-8B6CD986A4E5}"/>
    <cellStyle name="Įprastas 5 6 3 3 2_Lapas1" xfId="2557" xr:uid="{E10D5FCC-43B1-4274-AF6B-4BBDDCC2DDDF}"/>
    <cellStyle name="Įprastas 5 6 3 3 3" xfId="2559" xr:uid="{6354A418-1EC0-460C-BE23-18F2464FEB4B}"/>
    <cellStyle name="Įprastas 5 6 3 3 4" xfId="3038" xr:uid="{9032A7A2-E64C-485B-93EC-26E4012C7D8E}"/>
    <cellStyle name="Įprastas 5 6 3 3_8 priedas" xfId="1198" xr:uid="{00000000-0005-0000-0000-0000D9040000}"/>
    <cellStyle name="Įprastas 5 6 3 4" xfId="535" xr:uid="{00000000-0005-0000-0000-0000DA040000}"/>
    <cellStyle name="Įprastas 5 6 3 4 2" xfId="2561" xr:uid="{5C1F7903-A397-4133-84AA-B1C7BD654474}"/>
    <cellStyle name="Įprastas 5 6 3 4 3" xfId="3119" xr:uid="{F4C02602-8079-46A0-958C-685AB95E59C3}"/>
    <cellStyle name="Įprastas 5 6 3 4_Lapas1" xfId="2560" xr:uid="{F7BFE79C-0F3E-40F4-8544-FE301963F453}"/>
    <cellStyle name="Įprastas 5 6 3 5" xfId="2562" xr:uid="{ACAFF851-0131-4BE6-B478-5C2DB4FC273F}"/>
    <cellStyle name="Įprastas 5 6 3 6" xfId="3036" xr:uid="{24DC4009-F17B-40CF-9230-99120447D7D2}"/>
    <cellStyle name="Įprastas 5 6 3_8 priedas" xfId="927" xr:uid="{00000000-0005-0000-0000-0000DB040000}"/>
    <cellStyle name="Įprastas 5 6 4" xfId="440" xr:uid="{00000000-0005-0000-0000-0000DC040000}"/>
    <cellStyle name="Įprastas 5 6 4 2" xfId="441" xr:uid="{00000000-0005-0000-0000-0000DD040000}"/>
    <cellStyle name="Įprastas 5 6 4 2 2" xfId="727" xr:uid="{00000000-0005-0000-0000-0000DE040000}"/>
    <cellStyle name="Įprastas 5 6 4 2 2 2" xfId="2564" xr:uid="{51D549FC-A9C6-4AE6-8CF4-159A2BAECB22}"/>
    <cellStyle name="Įprastas 5 6 4 2 2 3" xfId="3311" xr:uid="{F53D72B3-BDE4-4AC3-B885-780EED7B231F}"/>
    <cellStyle name="Įprastas 5 6 4 2 2_Lapas1" xfId="2563" xr:uid="{69FB2CC0-921E-4128-8297-7A075CDAF109}"/>
    <cellStyle name="Įprastas 5 6 4 2 3" xfId="2565" xr:uid="{86E7FA30-FA06-4D78-AF55-B54F443778BD}"/>
    <cellStyle name="Įprastas 5 6 4 2 4" xfId="3040" xr:uid="{22C08CFB-1828-45B8-8D81-1460EF63C4D3}"/>
    <cellStyle name="Įprastas 5 6 4 2_8 priedas" xfId="1289" xr:uid="{00000000-0005-0000-0000-0000DF040000}"/>
    <cellStyle name="Įprastas 5 6 4 3" xfId="442" xr:uid="{00000000-0005-0000-0000-0000E0040000}"/>
    <cellStyle name="Įprastas 5 6 4 3 2" xfId="871" xr:uid="{00000000-0005-0000-0000-0000E1040000}"/>
    <cellStyle name="Įprastas 5 6 4 3 2 2" xfId="2567" xr:uid="{9EE8E40B-21A7-41BB-8D4C-367BD5FBEBD0}"/>
    <cellStyle name="Įprastas 5 6 4 3 2 3" xfId="3455" xr:uid="{0FF2C654-F921-4443-819E-D7885C3833AC}"/>
    <cellStyle name="Įprastas 5 6 4 3 2_Lapas1" xfId="2566" xr:uid="{DB474602-F8B8-4955-8E4B-B4AF1ED2250B}"/>
    <cellStyle name="Įprastas 5 6 4 3 3" xfId="2568" xr:uid="{B26742F0-57EB-48C8-944C-7989D39B6813}"/>
    <cellStyle name="Įprastas 5 6 4 3 4" xfId="3041" xr:uid="{12E4A9C9-9D3C-49D4-AA7F-BECE7CB2A4FE}"/>
    <cellStyle name="Įprastas 5 6 4 3_8 priedas" xfId="1152" xr:uid="{00000000-0005-0000-0000-0000E2040000}"/>
    <cellStyle name="Įprastas 5 6 4 4" xfId="583" xr:uid="{00000000-0005-0000-0000-0000E3040000}"/>
    <cellStyle name="Įprastas 5 6 4 4 2" xfId="2570" xr:uid="{2C5A34E4-406F-464C-9288-44BDB21093D2}"/>
    <cellStyle name="Įprastas 5 6 4 4 3" xfId="3167" xr:uid="{61FEA9A5-9F4D-4675-900B-DD5C380162EA}"/>
    <cellStyle name="Įprastas 5 6 4 4_Lapas1" xfId="2569" xr:uid="{848D92E0-771C-4C6D-A475-4164F4507A5D}"/>
    <cellStyle name="Įprastas 5 6 4 5" xfId="2571" xr:uid="{C722A2C1-18C8-42CE-9BF3-F8A29C865363}"/>
    <cellStyle name="Įprastas 5 6 4 6" xfId="3039" xr:uid="{D3F653D3-C5DA-44F1-B150-3A8BE6B2E88E}"/>
    <cellStyle name="Įprastas 5 6 4_8 priedas" xfId="1064" xr:uid="{00000000-0005-0000-0000-0000E4040000}"/>
    <cellStyle name="Įprastas 5 6 5" xfId="443" xr:uid="{00000000-0005-0000-0000-0000E5040000}"/>
    <cellStyle name="Įprastas 5 6 5 2" xfId="631" xr:uid="{00000000-0005-0000-0000-0000E6040000}"/>
    <cellStyle name="Įprastas 5 6 5 2 2" xfId="2573" xr:uid="{CE13BE57-E7AB-4C0B-A15F-40E5868DA247}"/>
    <cellStyle name="Įprastas 5 6 5 2 3" xfId="3215" xr:uid="{8772556E-87C3-40EF-9824-174DE8B87056}"/>
    <cellStyle name="Įprastas 5 6 5 2_Lapas1" xfId="2572" xr:uid="{2ABB8489-BE86-4485-A7F9-01B230F5433C}"/>
    <cellStyle name="Įprastas 5 6 5 3" xfId="2574" xr:uid="{0EA5E4D1-C7B0-415D-8FD5-BE5AF9AAECAB}"/>
    <cellStyle name="Įprastas 5 6 5 4" xfId="3042" xr:uid="{EAE77EF0-A8D2-471D-B8D6-6AC739EC5697}"/>
    <cellStyle name="Įprastas 5 6 5_8 priedas" xfId="1017" xr:uid="{00000000-0005-0000-0000-0000E7040000}"/>
    <cellStyle name="Įprastas 5 6 6" xfId="444" xr:uid="{00000000-0005-0000-0000-0000E8040000}"/>
    <cellStyle name="Įprastas 5 6 6 2" xfId="775" xr:uid="{00000000-0005-0000-0000-0000E9040000}"/>
    <cellStyle name="Įprastas 5 6 6 2 2" xfId="2576" xr:uid="{E372D98E-9F14-42F7-ABB4-1B60C296F7C6}"/>
    <cellStyle name="Įprastas 5 6 6 2 3" xfId="3359" xr:uid="{07B28767-EF19-4AE9-AD03-D66C993A032D}"/>
    <cellStyle name="Įprastas 5 6 6 2_Lapas1" xfId="2575" xr:uid="{3E3F4AC7-563A-453B-BE56-E2B8DA1BA8A0}"/>
    <cellStyle name="Įprastas 5 6 6 3" xfId="2577" xr:uid="{36F08483-62D9-4AF5-8C69-F2BF459FC630}"/>
    <cellStyle name="Įprastas 5 6 6 4" xfId="3043" xr:uid="{DA483FA0-C8FF-424A-BB26-65E5C58567D3}"/>
    <cellStyle name="Įprastas 5 6 6_8 priedas" xfId="1242" xr:uid="{00000000-0005-0000-0000-0000EA040000}"/>
    <cellStyle name="Įprastas 5 6 7" xfId="487" xr:uid="{00000000-0005-0000-0000-0000EB040000}"/>
    <cellStyle name="Įprastas 5 6 7 2" xfId="2579" xr:uid="{FA132B1F-BBBA-4F69-B2F7-90513548E7EF}"/>
    <cellStyle name="Įprastas 5 6 7 3" xfId="3071" xr:uid="{37FB3536-D66F-4DC8-9329-5A3493D3F185}"/>
    <cellStyle name="Įprastas 5 6 7_Lapas1" xfId="2578" xr:uid="{FA122B5B-34BB-4687-BB68-DCA6754613E6}"/>
    <cellStyle name="Įprastas 5 6 8" xfId="2580" xr:uid="{790920B7-D120-42BC-975D-224E266E22F3}"/>
    <cellStyle name="Įprastas 5 6 9" xfId="3026" xr:uid="{DA4452FE-5E13-44D6-BF6F-F6B83241DB0D}"/>
    <cellStyle name="Įprastas 5 6_8 priedas" xfId="981" xr:uid="{00000000-0005-0000-0000-0000EC040000}"/>
    <cellStyle name="Įprastas 5 7" xfId="445" xr:uid="{00000000-0005-0000-0000-0000ED040000}"/>
    <cellStyle name="Įprastas 5 7 2" xfId="446" xr:uid="{00000000-0005-0000-0000-0000EE040000}"/>
    <cellStyle name="Įprastas 5 7 2 2" xfId="447" xr:uid="{00000000-0005-0000-0000-0000EF040000}"/>
    <cellStyle name="Įprastas 5 7 2 2 2" xfId="691" xr:uid="{00000000-0005-0000-0000-0000F0040000}"/>
    <cellStyle name="Įprastas 5 7 2 2 2 2" xfId="2582" xr:uid="{AA267D92-0E9F-460E-9603-7C7F3EC33C1F}"/>
    <cellStyle name="Įprastas 5 7 2 2 2 3" xfId="3275" xr:uid="{94B4BB9A-B49E-42D5-9E77-97DD4526644F}"/>
    <cellStyle name="Įprastas 5 7 2 2 2_Lapas1" xfId="2581" xr:uid="{AF1B0528-D945-4CC1-AB49-73C3051C3CA3}"/>
    <cellStyle name="Įprastas 5 7 2 2 3" xfId="2583" xr:uid="{BFD26E20-75DB-48A5-A244-F8BF94679A90}"/>
    <cellStyle name="Įprastas 5 7 2 2 4" xfId="3046" xr:uid="{6782E536-1BB0-4ADD-903C-6819EDF94C15}"/>
    <cellStyle name="Įprastas 5 7 2 2_8 priedas" xfId="1222" xr:uid="{00000000-0005-0000-0000-0000F1040000}"/>
    <cellStyle name="Įprastas 5 7 2 3" xfId="448" xr:uid="{00000000-0005-0000-0000-0000F2040000}"/>
    <cellStyle name="Įprastas 5 7 2 3 2" xfId="835" xr:uid="{00000000-0005-0000-0000-0000F3040000}"/>
    <cellStyle name="Įprastas 5 7 2 3 2 2" xfId="2585" xr:uid="{C31EA478-CC80-4C46-9ABD-013BEEDE6068}"/>
    <cellStyle name="Įprastas 5 7 2 3 2 3" xfId="3419" xr:uid="{EFE7ADFE-E7E6-44C4-B126-4AEC584E3F96}"/>
    <cellStyle name="Įprastas 5 7 2 3 2_Lapas1" xfId="2584" xr:uid="{B81AFA56-96E2-44A1-84A7-CD52BB3ADB66}"/>
    <cellStyle name="Įprastas 5 7 2 3 3" xfId="2586" xr:uid="{F33D92BA-F942-465D-9455-D9F70DD8EF60}"/>
    <cellStyle name="Įprastas 5 7 2 3 4" xfId="3047" xr:uid="{184F5800-AFEC-44DC-BBED-1A38E599BE99}"/>
    <cellStyle name="Įprastas 5 7 2 3_8 priedas" xfId="1088" xr:uid="{00000000-0005-0000-0000-0000F4040000}"/>
    <cellStyle name="Įprastas 5 7 2 4" xfId="547" xr:uid="{00000000-0005-0000-0000-0000F5040000}"/>
    <cellStyle name="Įprastas 5 7 2 4 2" xfId="2588" xr:uid="{07307918-34E0-4450-A72C-C49B4F2D1E42}"/>
    <cellStyle name="Įprastas 5 7 2 4 3" xfId="3131" xr:uid="{624C9771-9B15-4CF2-B00C-A88FA1CF010A}"/>
    <cellStyle name="Įprastas 5 7 2 4_Lapas1" xfId="2587" xr:uid="{02024653-7A9E-4D80-B57D-E865D026E2E2}"/>
    <cellStyle name="Įprastas 5 7 2 5" xfId="2589" xr:uid="{AD29884D-20C8-4762-8897-A43B385CF5D3}"/>
    <cellStyle name="Įprastas 5 7 2 6" xfId="3045" xr:uid="{B2A8C971-8D70-4DA6-91B8-88592A2A9181}"/>
    <cellStyle name="Įprastas 5 7 2_8 priedas" xfId="976" xr:uid="{00000000-0005-0000-0000-0000F6040000}"/>
    <cellStyle name="Įprastas 5 7 3" xfId="449" xr:uid="{00000000-0005-0000-0000-0000F7040000}"/>
    <cellStyle name="Įprastas 5 7 3 2" xfId="450" xr:uid="{00000000-0005-0000-0000-0000F8040000}"/>
    <cellStyle name="Įprastas 5 7 3 2 2" xfId="739" xr:uid="{00000000-0005-0000-0000-0000F9040000}"/>
    <cellStyle name="Įprastas 5 7 3 2 2 2" xfId="2591" xr:uid="{017681E5-0C60-40C7-9AFE-81258D1CF20E}"/>
    <cellStyle name="Įprastas 5 7 3 2 2 3" xfId="3323" xr:uid="{CDAA1718-9467-442E-AE7B-3C63CBC69248}"/>
    <cellStyle name="Įprastas 5 7 3 2 2_Lapas1" xfId="2590" xr:uid="{957DA219-C46D-4FAA-A2FD-082BF6F78089}"/>
    <cellStyle name="Įprastas 5 7 3 2 3" xfId="2592" xr:uid="{3AF88AC6-382C-489A-BD84-62597534946C}"/>
    <cellStyle name="Įprastas 5 7 3 2 4" xfId="3049" xr:uid="{8F697F5B-7E8C-4192-86F7-E778E6E951DC}"/>
    <cellStyle name="Įprastas 5 7 3 2_8 priedas" xfId="1176" xr:uid="{00000000-0005-0000-0000-0000FA040000}"/>
    <cellStyle name="Įprastas 5 7 3 3" xfId="451" xr:uid="{00000000-0005-0000-0000-0000FB040000}"/>
    <cellStyle name="Įprastas 5 7 3 3 2" xfId="883" xr:uid="{00000000-0005-0000-0000-0000FC040000}"/>
    <cellStyle name="Įprastas 5 7 3 3 2 2" xfId="2594" xr:uid="{F003B6C9-91F9-485B-AE89-882922403BA2}"/>
    <cellStyle name="Įprastas 5 7 3 3 2 3" xfId="3467" xr:uid="{8C2C448B-039A-44C2-B4B1-1D8D792AB052}"/>
    <cellStyle name="Įprastas 5 7 3 3 2_Lapas1" xfId="2593" xr:uid="{07171BC4-53F0-48D2-8C9C-410F9075BA46}"/>
    <cellStyle name="Įprastas 5 7 3 3 3" xfId="2595" xr:uid="{26AD919B-BE34-4636-8DEE-F313FD07EB96}"/>
    <cellStyle name="Įprastas 5 7 3 3 4" xfId="3050" xr:uid="{2B7B291A-86A3-4867-AF19-221AC146635B}"/>
    <cellStyle name="Įprastas 5 7 3 3_8 priedas" xfId="1040" xr:uid="{00000000-0005-0000-0000-0000FD040000}"/>
    <cellStyle name="Įprastas 5 7 3 4" xfId="595" xr:uid="{00000000-0005-0000-0000-0000FE040000}"/>
    <cellStyle name="Įprastas 5 7 3 4 2" xfId="2597" xr:uid="{7D694B68-B345-4824-B76C-12B9632EDDD9}"/>
    <cellStyle name="Įprastas 5 7 3 4 3" xfId="3179" xr:uid="{34C27EA2-7FE2-44C1-9581-C9570C0B8013}"/>
    <cellStyle name="Įprastas 5 7 3 4_Lapas1" xfId="2596" xr:uid="{9D02D032-EDD6-418E-B590-A9D1C911BC2D}"/>
    <cellStyle name="Įprastas 5 7 3 5" xfId="2598" xr:uid="{D9772CAA-8B7A-419D-8DE1-98FCC1444096}"/>
    <cellStyle name="Įprastas 5 7 3 6" xfId="3048" xr:uid="{AE894C0D-F828-44AD-BDD7-785C5907408B}"/>
    <cellStyle name="Įprastas 5 7 3_8 priedas" xfId="1313" xr:uid="{00000000-0005-0000-0000-0000FF040000}"/>
    <cellStyle name="Įprastas 5 7 4" xfId="452" xr:uid="{00000000-0005-0000-0000-000000050000}"/>
    <cellStyle name="Įprastas 5 7 4 2" xfId="643" xr:uid="{00000000-0005-0000-0000-000001050000}"/>
    <cellStyle name="Įprastas 5 7 4 2 2" xfId="2600" xr:uid="{DE9A86B1-F828-47A1-9ACF-725B31392156}"/>
    <cellStyle name="Įprastas 5 7 4 2 3" xfId="3227" xr:uid="{29971A4D-EAE9-4260-A9DE-0AE45889A817}"/>
    <cellStyle name="Įprastas 5 7 4 2_Lapas1" xfId="2599" xr:uid="{E1B7B6BB-FBCD-456E-BF3C-19F8226806E1}"/>
    <cellStyle name="Įprastas 5 7 4 3" xfId="2601" xr:uid="{18A80CD3-4264-4D8F-BEEB-0FB2A60B6A43}"/>
    <cellStyle name="Įprastas 5 7 4 4" xfId="3051" xr:uid="{06657F72-AA8D-4996-9A80-DAD23D268148}"/>
    <cellStyle name="Įprastas 5 7 4_8 priedas" xfId="1264" xr:uid="{00000000-0005-0000-0000-000002050000}"/>
    <cellStyle name="Įprastas 5 7 5" xfId="453" xr:uid="{00000000-0005-0000-0000-000003050000}"/>
    <cellStyle name="Įprastas 5 7 5 2" xfId="787" xr:uid="{00000000-0005-0000-0000-000004050000}"/>
    <cellStyle name="Įprastas 5 7 5 2 2" xfId="2603" xr:uid="{4ED9AE23-8AF8-447F-B5F8-5F6A11E964AF}"/>
    <cellStyle name="Įprastas 5 7 5 2 3" xfId="3371" xr:uid="{5EC232B1-8C5A-49EA-BEFB-EFB09979D465}"/>
    <cellStyle name="Įprastas 5 7 5 2_Lapas1" xfId="2602" xr:uid="{2CFD7DB4-0190-484F-9E92-A3B25C99EFD7}"/>
    <cellStyle name="Įprastas 5 7 5 3" xfId="2604" xr:uid="{E1873F68-2779-4DFA-BE62-26AF031A954A}"/>
    <cellStyle name="Įprastas 5 7 5 4" xfId="3052" xr:uid="{962E25AB-7BF3-4433-941A-942A3FF224FE}"/>
    <cellStyle name="Įprastas 5 7 5_8 priedas" xfId="1128" xr:uid="{00000000-0005-0000-0000-000005050000}"/>
    <cellStyle name="Įprastas 5 7 6" xfId="499" xr:uid="{00000000-0005-0000-0000-000006050000}"/>
    <cellStyle name="Įprastas 5 7 6 2" xfId="2606" xr:uid="{DBBC70C6-E90F-4883-96D3-7E2726FDCA73}"/>
    <cellStyle name="Įprastas 5 7 6 3" xfId="3083" xr:uid="{AC22E440-A278-4ECD-BC32-150F9FEDB0D6}"/>
    <cellStyle name="Įprastas 5 7 6_Lapas1" xfId="2605" xr:uid="{5057CDFF-A9B1-42A7-A609-F15828E51F26}"/>
    <cellStyle name="Įprastas 5 7 7" xfId="2607" xr:uid="{F8D76122-7FEA-4A14-828A-B55BD8F0BD6E}"/>
    <cellStyle name="Įprastas 5 7 8" xfId="3044" xr:uid="{FACE4A04-466D-483E-920D-1D5DF716D2D7}"/>
    <cellStyle name="Įprastas 5 7_8 priedas" xfId="1112" xr:uid="{00000000-0005-0000-0000-000007050000}"/>
    <cellStyle name="Įprastas 5 8" xfId="454" xr:uid="{00000000-0005-0000-0000-000008050000}"/>
    <cellStyle name="Įprastas 5 8 2" xfId="455" xr:uid="{00000000-0005-0000-0000-000009050000}"/>
    <cellStyle name="Įprastas 5 8 2 2" xfId="667" xr:uid="{00000000-0005-0000-0000-00000A050000}"/>
    <cellStyle name="Įprastas 5 8 2 2 2" xfId="2609" xr:uid="{3ADA960D-4735-44B2-BC51-0C3847ADA25A}"/>
    <cellStyle name="Įprastas 5 8 2 2 3" xfId="3251" xr:uid="{1C8987A9-FC62-4B4E-9457-ACC28EED4E09}"/>
    <cellStyle name="Įprastas 5 8 2 2_Lapas1" xfId="2608" xr:uid="{7161CDAC-608F-4F1C-A04C-14C8A1160A9F}"/>
    <cellStyle name="Įprastas 5 8 2 3" xfId="2610" xr:uid="{EB68345D-A6B6-44C8-B489-978A3E2908BD}"/>
    <cellStyle name="Įprastas 5 8 2 4" xfId="3054" xr:uid="{DC3AE340-4908-4A6B-96A7-1246187D78C4}"/>
    <cellStyle name="Įprastas 5 8 2_8 priedas" xfId="951" xr:uid="{00000000-0005-0000-0000-00000B050000}"/>
    <cellStyle name="Įprastas 5 8 3" xfId="456" xr:uid="{00000000-0005-0000-0000-00000C050000}"/>
    <cellStyle name="Įprastas 5 8 3 2" xfId="811" xr:uid="{00000000-0005-0000-0000-00000D050000}"/>
    <cellStyle name="Įprastas 5 8 3 2 2" xfId="2612" xr:uid="{C4CC6535-4FCB-4D09-8EA9-E465CEAB6990}"/>
    <cellStyle name="Įprastas 5 8 3 2 3" xfId="3395" xr:uid="{1336F552-867C-4406-B9E0-69D3033B89F9}"/>
    <cellStyle name="Įprastas 5 8 3 2_Lapas1" xfId="2611" xr:uid="{693B354E-3DF4-43AE-8FE4-18124EDAA788}"/>
    <cellStyle name="Įprastas 5 8 3 3" xfId="2613" xr:uid="{6CC14798-45AC-4DE0-8001-810DD156724A}"/>
    <cellStyle name="Įprastas 5 8 3 4" xfId="3055" xr:uid="{AFB0CEFB-C6C6-472B-ACD2-099F9AA616A0}"/>
    <cellStyle name="Įprastas 5 8 3_8 priedas" xfId="1210" xr:uid="{00000000-0005-0000-0000-00000E050000}"/>
    <cellStyle name="Įprastas 5 8 4" xfId="523" xr:uid="{00000000-0005-0000-0000-00000F050000}"/>
    <cellStyle name="Įprastas 5 8 4 2" xfId="2615" xr:uid="{01DC6201-2D4E-42E4-8DC2-9951B85FCD3A}"/>
    <cellStyle name="Įprastas 5 8 4 3" xfId="3107" xr:uid="{305F2F85-2C3D-4107-A44A-F6F86967A9A6}"/>
    <cellStyle name="Įprastas 5 8 4_Lapas1" xfId="2614" xr:uid="{E3445263-E9A6-44AD-9777-3752314DA47E}"/>
    <cellStyle name="Įprastas 5 8 5" xfId="2616" xr:uid="{2A748B68-4DA0-4168-8566-2725E0D4C434}"/>
    <cellStyle name="Įprastas 5 8 6" xfId="3053" xr:uid="{478BECBF-8AA0-419C-8ADB-FFD9E602B670}"/>
    <cellStyle name="Įprastas 5 8_8 priedas" xfId="992" xr:uid="{00000000-0005-0000-0000-000010050000}"/>
    <cellStyle name="Įprastas 5 9" xfId="457" xr:uid="{00000000-0005-0000-0000-000011050000}"/>
    <cellStyle name="Įprastas 5 9 2" xfId="458" xr:uid="{00000000-0005-0000-0000-000012050000}"/>
    <cellStyle name="Įprastas 5 9 2 2" xfId="715" xr:uid="{00000000-0005-0000-0000-000013050000}"/>
    <cellStyle name="Įprastas 5 9 2 2 2" xfId="2618" xr:uid="{75E6ADAE-AE6D-4018-979E-AF7F347DE7C8}"/>
    <cellStyle name="Įprastas 5 9 2 2 3" xfId="3299" xr:uid="{41CF5675-E596-44B8-9834-E7E74F76C14E}"/>
    <cellStyle name="Įprastas 5 9 2 2_Lapas1" xfId="2617" xr:uid="{95C6761B-FA0A-4BF7-A593-9923684EF995}"/>
    <cellStyle name="Įprastas 5 9 2 3" xfId="2619" xr:uid="{9CB64B48-A0FE-470A-BF44-C6CDA903059A}"/>
    <cellStyle name="Įprastas 5 9 2 4" xfId="3057" xr:uid="{69B818E9-9A8D-4835-AD3B-EB3C089EF4AE}"/>
    <cellStyle name="Įprastas 5 9 2_8 priedas" xfId="1301" xr:uid="{00000000-0005-0000-0000-000014050000}"/>
    <cellStyle name="Įprastas 5 9 3" xfId="459" xr:uid="{00000000-0005-0000-0000-000015050000}"/>
    <cellStyle name="Įprastas 5 9 3 2" xfId="859" xr:uid="{00000000-0005-0000-0000-000016050000}"/>
    <cellStyle name="Įprastas 5 9 3 2 2" xfId="2621" xr:uid="{BB8672D8-CBF7-406C-8353-17AF0F8870B3}"/>
    <cellStyle name="Įprastas 5 9 3 2 3" xfId="3443" xr:uid="{F6F16A22-A217-4D98-BAAB-E9F5D88DE7B9}"/>
    <cellStyle name="Įprastas 5 9 3 2_Lapas1" xfId="2620" xr:uid="{8F7C87C9-07D9-40AE-8A11-C40DC680291D}"/>
    <cellStyle name="Įprastas 5 9 3 3" xfId="2622" xr:uid="{ED7164C9-01FE-4563-A5DA-C2FE7C875AF4}"/>
    <cellStyle name="Įprastas 5 9 3 4" xfId="3058" xr:uid="{733A5E0F-D923-4724-ADCC-68DD11E9E12A}"/>
    <cellStyle name="Įprastas 5 9 3_8 priedas" xfId="1164" xr:uid="{00000000-0005-0000-0000-000017050000}"/>
    <cellStyle name="Įprastas 5 9 4" xfId="571" xr:uid="{00000000-0005-0000-0000-000018050000}"/>
    <cellStyle name="Įprastas 5 9 4 2" xfId="2624" xr:uid="{DAF9E66A-2777-4EF5-BF8B-6FD9A2233973}"/>
    <cellStyle name="Įprastas 5 9 4 3" xfId="3155" xr:uid="{541F5984-4D5F-400C-9507-C767F86D4003}"/>
    <cellStyle name="Įprastas 5 9 4_Lapas1" xfId="2623" xr:uid="{0F534CB4-48B3-4C64-A3CE-12FBFAE6F726}"/>
    <cellStyle name="Įprastas 5 9 5" xfId="2625" xr:uid="{DC5B4224-4FD1-48C4-A759-117FBA360CB2}"/>
    <cellStyle name="Įprastas 5 9 6" xfId="3056" xr:uid="{F6F9A7C6-C75F-48C7-B36E-EF9C5F9ABF5F}"/>
    <cellStyle name="Įprastas 5 9_8 priedas" xfId="1076" xr:uid="{00000000-0005-0000-0000-000019050000}"/>
    <cellStyle name="Įprastas 5_8 -ES projektai" xfId="13" xr:uid="{00000000-0005-0000-0000-00001A050000}"/>
    <cellStyle name="Įprastas_8 priedas" xfId="2626" xr:uid="{A05FD19A-97CE-40F4-B603-5BB0CEA39585}"/>
    <cellStyle name="Įprastas_Lapas1" xfId="1329" xr:uid="{53B917B0-8591-45CB-A4B1-6AFDC01AE2BE}"/>
    <cellStyle name="Įprastas_Lapas5" xfId="1328" xr:uid="{FD170CB5-B9FA-4E93-86E9-9B97CB73EEBC}"/>
    <cellStyle name="Kablelis 2" xfId="19" xr:uid="{00000000-0005-0000-0000-00001C050000}"/>
    <cellStyle name="Kablelis 2 2" xfId="460" xr:uid="{00000000-0005-0000-0000-00001D050000}"/>
    <cellStyle name="Kablelis 2 2 2" xfId="461" xr:uid="{00000000-0005-0000-0000-00001E050000}"/>
    <cellStyle name="Kablelis 2 2 3" xfId="33" xr:uid="{00000000-0005-0000-0000-00001F050000}"/>
    <cellStyle name="Kablelis 2 3" xfId="462" xr:uid="{00000000-0005-0000-0000-000020050000}"/>
    <cellStyle name="Kablelis 2 3 2" xfId="463" xr:uid="{00000000-0005-0000-0000-000021050000}"/>
    <cellStyle name="Kablelis 2 3 3" xfId="464" xr:uid="{00000000-0005-0000-0000-000022050000}"/>
    <cellStyle name="Kablelis 2 4" xfId="465" xr:uid="{00000000-0005-0000-0000-000023050000}"/>
    <cellStyle name="Kablelis 2 5" xfId="32" xr:uid="{00000000-0005-0000-0000-000024050000}"/>
    <cellStyle name="Kablelis 3" xfId="20" xr:uid="{00000000-0005-0000-0000-000025050000}"/>
    <cellStyle name="Kablelis 3 2" xfId="466" xr:uid="{00000000-0005-0000-0000-000026050000}"/>
    <cellStyle name="Kablelis 3 2 2" xfId="467" xr:uid="{00000000-0005-0000-0000-000027050000}"/>
    <cellStyle name="Kablelis 3 2 3" xfId="468" xr:uid="{00000000-0005-0000-0000-000028050000}"/>
    <cellStyle name="Kablelis 3 3" xfId="469" xr:uid="{00000000-0005-0000-0000-000029050000}"/>
    <cellStyle name="Kablelis 3 3 2" xfId="470" xr:uid="{00000000-0005-0000-0000-00002A050000}"/>
    <cellStyle name="Kablelis 3 3 3" xfId="471" xr:uid="{00000000-0005-0000-0000-00002B050000}"/>
    <cellStyle name="Kablelis 3 4" xfId="472" xr:uid="{00000000-0005-0000-0000-00002C050000}"/>
    <cellStyle name="Kablelis 3 5" xfId="473" xr:uid="{00000000-0005-0000-0000-00002D050000}"/>
    <cellStyle name="Kablelis 4" xfId="474" xr:uid="{00000000-0005-0000-0000-00002E050000}"/>
    <cellStyle name="Normal_Sheet1" xfId="9" xr:uid="{00000000-0005-0000-0000-00002F050000}"/>
    <cellStyle name="Normal_Sheet1_1" xfId="1327" xr:uid="{0C7A351A-A123-41F7-A0F7-4418C9EF9E1A}"/>
  </cellStyles>
  <dxfs count="0"/>
  <tableStyles count="0" defaultTableStyle="TableStyleMedium9" defaultPivotStyle="PivotStyleLight16"/>
  <colors>
    <mruColors>
      <color rgb="FFCCECFF"/>
      <color rgb="FFCCFFFF"/>
      <color rgb="FFCCCCFF"/>
      <color rgb="FFFF99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H96"/>
  <sheetViews>
    <sheetView tabSelected="1" workbookViewId="0"/>
  </sheetViews>
  <sheetFormatPr defaultColWidth="9.109375" defaultRowHeight="13.2" x14ac:dyDescent="0.25"/>
  <cols>
    <col min="1" max="1" width="4.5546875" style="169" customWidth="1"/>
    <col min="2" max="2" width="14.5546875" style="169" customWidth="1"/>
    <col min="3" max="3" width="66" style="169" customWidth="1"/>
    <col min="4" max="4" width="19.109375" style="169" customWidth="1"/>
    <col min="5" max="6" width="9.109375" style="169"/>
    <col min="7" max="7" width="10.109375" style="169" bestFit="1" customWidth="1"/>
    <col min="8" max="16384" width="9.109375" style="169"/>
  </cols>
  <sheetData>
    <row r="4" spans="1:8" x14ac:dyDescent="0.25">
      <c r="C4" s="335" t="s">
        <v>833</v>
      </c>
      <c r="D4" s="335"/>
      <c r="E4" s="335"/>
      <c r="F4" s="335"/>
      <c r="G4" s="335"/>
      <c r="H4" s="335"/>
    </row>
    <row r="5" spans="1:8" x14ac:dyDescent="0.25">
      <c r="C5" s="335" t="s">
        <v>834</v>
      </c>
      <c r="D5" s="175"/>
      <c r="E5" s="175"/>
      <c r="F5" s="335"/>
      <c r="G5" s="175"/>
      <c r="H5" s="335"/>
    </row>
    <row r="6" spans="1:8" x14ac:dyDescent="0.25">
      <c r="C6" s="335" t="s">
        <v>839</v>
      </c>
      <c r="D6" s="335"/>
      <c r="E6" s="335"/>
      <c r="F6" s="335"/>
      <c r="G6" s="335"/>
      <c r="H6" s="335"/>
    </row>
    <row r="7" spans="1:8" x14ac:dyDescent="0.25">
      <c r="C7" s="335" t="s">
        <v>832</v>
      </c>
      <c r="D7" s="335"/>
      <c r="E7" s="335"/>
      <c r="F7" s="335"/>
      <c r="G7" s="335"/>
      <c r="H7" s="335"/>
    </row>
    <row r="8" spans="1:8" x14ac:dyDescent="0.25">
      <c r="C8" s="1011" t="s">
        <v>840</v>
      </c>
      <c r="D8" s="1012"/>
      <c r="E8" s="1012"/>
      <c r="F8" s="1012"/>
      <c r="G8" s="1012"/>
      <c r="H8" s="1012"/>
    </row>
    <row r="9" spans="1:8" ht="15.6" x14ac:dyDescent="0.3">
      <c r="A9" s="2"/>
      <c r="B9" s="2"/>
      <c r="C9" s="335" t="s">
        <v>841</v>
      </c>
      <c r="D9" s="335"/>
      <c r="E9" s="1011"/>
      <c r="F9" s="1011"/>
      <c r="G9" s="1011"/>
      <c r="H9" s="992"/>
    </row>
    <row r="10" spans="1:8" ht="15.6" x14ac:dyDescent="0.3">
      <c r="A10" s="2"/>
      <c r="B10" s="2"/>
      <c r="E10" s="188"/>
      <c r="F10" s="188"/>
      <c r="G10" s="188"/>
      <c r="H10" s="187"/>
    </row>
    <row r="11" spans="1:8" ht="15.6" x14ac:dyDescent="0.3">
      <c r="A11" s="2"/>
      <c r="B11" s="1015" t="s">
        <v>817</v>
      </c>
      <c r="C11" s="1015"/>
      <c r="D11" s="1015"/>
      <c r="E11" s="1015"/>
      <c r="F11" s="188"/>
      <c r="G11" s="188"/>
      <c r="H11" s="187"/>
    </row>
    <row r="12" spans="1:8" ht="15.6" x14ac:dyDescent="0.3">
      <c r="A12" s="2"/>
      <c r="B12" s="2"/>
      <c r="E12" s="188"/>
      <c r="F12" s="188"/>
      <c r="G12" s="188"/>
      <c r="H12" s="187"/>
    </row>
    <row r="13" spans="1:8" x14ac:dyDescent="0.25">
      <c r="D13" s="169" t="s">
        <v>818</v>
      </c>
    </row>
    <row r="14" spans="1:8" ht="46.8" x14ac:dyDescent="0.25">
      <c r="A14" s="191" t="s">
        <v>292</v>
      </c>
      <c r="B14" s="191" t="s">
        <v>293</v>
      </c>
      <c r="C14" s="331" t="s">
        <v>294</v>
      </c>
      <c r="D14" s="192" t="s">
        <v>487</v>
      </c>
    </row>
    <row r="15" spans="1:8" ht="15.6" x14ac:dyDescent="0.25">
      <c r="A15" s="192">
        <v>1</v>
      </c>
      <c r="B15" s="192">
        <v>2</v>
      </c>
      <c r="C15" s="332">
        <v>3</v>
      </c>
      <c r="D15" s="192">
        <v>4</v>
      </c>
    </row>
    <row r="16" spans="1:8" ht="15.6" x14ac:dyDescent="0.25">
      <c r="A16" s="191">
        <v>1</v>
      </c>
      <c r="B16" s="193" t="s">
        <v>295</v>
      </c>
      <c r="C16" s="333" t="s">
        <v>438</v>
      </c>
      <c r="D16" s="194">
        <f>D17+D20+D24</f>
        <v>29059.200000000001</v>
      </c>
    </row>
    <row r="17" spans="1:5" ht="15.6" x14ac:dyDescent="0.25">
      <c r="A17" s="191">
        <v>2</v>
      </c>
      <c r="B17" s="195" t="s">
        <v>296</v>
      </c>
      <c r="C17" s="334" t="s">
        <v>437</v>
      </c>
      <c r="D17" s="196">
        <f>D18+D19</f>
        <v>27505.200000000001</v>
      </c>
    </row>
    <row r="18" spans="1:5" ht="15.6" x14ac:dyDescent="0.25">
      <c r="A18" s="191">
        <v>3</v>
      </c>
      <c r="B18" s="191" t="s">
        <v>297</v>
      </c>
      <c r="C18" s="331" t="s">
        <v>298</v>
      </c>
      <c r="D18" s="196">
        <f>27365.2+122</f>
        <v>27487.200000000001</v>
      </c>
      <c r="E18" s="352"/>
    </row>
    <row r="19" spans="1:5" ht="15.6" x14ac:dyDescent="0.25">
      <c r="A19" s="191">
        <v>4</v>
      </c>
      <c r="B19" s="191" t="s">
        <v>297</v>
      </c>
      <c r="C19" s="331" t="s">
        <v>601</v>
      </c>
      <c r="D19" s="196">
        <v>18</v>
      </c>
    </row>
    <row r="20" spans="1:5" ht="15.6" x14ac:dyDescent="0.25">
      <c r="A20" s="191">
        <v>5</v>
      </c>
      <c r="B20" s="191" t="s">
        <v>299</v>
      </c>
      <c r="C20" s="334" t="s">
        <v>439</v>
      </c>
      <c r="D20" s="196">
        <f>D21+D22+D23</f>
        <v>1464</v>
      </c>
    </row>
    <row r="21" spans="1:5" ht="15.6" x14ac:dyDescent="0.25">
      <c r="A21" s="191">
        <v>6</v>
      </c>
      <c r="B21" s="191" t="s">
        <v>300</v>
      </c>
      <c r="C21" s="331" t="s">
        <v>301</v>
      </c>
      <c r="D21" s="196">
        <v>1100</v>
      </c>
    </row>
    <row r="22" spans="1:5" ht="15.6" x14ac:dyDescent="0.25">
      <c r="A22" s="191">
        <v>7</v>
      </c>
      <c r="B22" s="191" t="s">
        <v>302</v>
      </c>
      <c r="C22" s="331" t="s">
        <v>448</v>
      </c>
      <c r="D22" s="196">
        <f>24+2</f>
        <v>26</v>
      </c>
      <c r="E22" s="352"/>
    </row>
    <row r="23" spans="1:5" ht="15.6" x14ac:dyDescent="0.25">
      <c r="A23" s="191">
        <v>8</v>
      </c>
      <c r="B23" s="191" t="s">
        <v>303</v>
      </c>
      <c r="C23" s="331" t="s">
        <v>304</v>
      </c>
      <c r="D23" s="196">
        <f>335+3</f>
        <v>338</v>
      </c>
      <c r="E23" s="352"/>
    </row>
    <row r="24" spans="1:5" ht="15.6" x14ac:dyDescent="0.25">
      <c r="A24" s="191">
        <v>9</v>
      </c>
      <c r="B24" s="191" t="s">
        <v>305</v>
      </c>
      <c r="C24" s="334" t="s">
        <v>440</v>
      </c>
      <c r="D24" s="196">
        <f>D25</f>
        <v>90</v>
      </c>
    </row>
    <row r="25" spans="1:5" ht="15.6" x14ac:dyDescent="0.25">
      <c r="A25" s="191">
        <v>10</v>
      </c>
      <c r="B25" s="191" t="s">
        <v>306</v>
      </c>
      <c r="C25" s="331" t="s">
        <v>307</v>
      </c>
      <c r="D25" s="196">
        <v>90</v>
      </c>
    </row>
    <row r="26" spans="1:5" ht="15.6" x14ac:dyDescent="0.25">
      <c r="A26" s="191">
        <v>11</v>
      </c>
      <c r="B26" s="193" t="s">
        <v>308</v>
      </c>
      <c r="C26" s="333" t="s">
        <v>815</v>
      </c>
      <c r="D26" s="404">
        <f>D30+D36+D57+D27</f>
        <v>24419.344249999998</v>
      </c>
    </row>
    <row r="27" spans="1:5" ht="15.6" x14ac:dyDescent="0.25">
      <c r="A27" s="191">
        <v>12</v>
      </c>
      <c r="B27" s="962" t="s">
        <v>405</v>
      </c>
      <c r="C27" s="334" t="s">
        <v>406</v>
      </c>
      <c r="D27" s="963">
        <f>D28+D29</f>
        <v>1380.32149</v>
      </c>
    </row>
    <row r="28" spans="1:5" ht="15.6" x14ac:dyDescent="0.25">
      <c r="A28" s="191">
        <v>13</v>
      </c>
      <c r="B28" s="962" t="s">
        <v>707</v>
      </c>
      <c r="C28" s="331" t="s">
        <v>708</v>
      </c>
      <c r="D28" s="963">
        <f>470.57696+5.026</f>
        <v>475.60296</v>
      </c>
    </row>
    <row r="29" spans="1:5" ht="15.6" x14ac:dyDescent="0.25">
      <c r="A29" s="191">
        <v>14</v>
      </c>
      <c r="B29" s="962" t="s">
        <v>709</v>
      </c>
      <c r="C29" s="331" t="s">
        <v>710</v>
      </c>
      <c r="D29" s="963">
        <f>864.44435+40.27418</f>
        <v>904.71852999999999</v>
      </c>
    </row>
    <row r="30" spans="1:5" ht="15.6" x14ac:dyDescent="0.25">
      <c r="A30" s="191">
        <v>15</v>
      </c>
      <c r="B30" s="962" t="s">
        <v>309</v>
      </c>
      <c r="C30" s="334" t="s">
        <v>816</v>
      </c>
      <c r="D30" s="964">
        <f>D31+D32+D33+D34+D35</f>
        <v>14889.051000000001</v>
      </c>
    </row>
    <row r="31" spans="1:5" ht="31.2" x14ac:dyDescent="0.25">
      <c r="A31" s="191">
        <v>16</v>
      </c>
      <c r="B31" s="191" t="s">
        <v>310</v>
      </c>
      <c r="C31" s="331" t="s">
        <v>311</v>
      </c>
      <c r="D31" s="991">
        <f>4924.564-57.8+166.1+15.1</f>
        <v>5047.9640000000009</v>
      </c>
    </row>
    <row r="32" spans="1:5" ht="15.6" x14ac:dyDescent="0.3">
      <c r="A32" s="191">
        <v>17</v>
      </c>
      <c r="B32" s="191" t="s">
        <v>312</v>
      </c>
      <c r="C32" s="331" t="s">
        <v>313</v>
      </c>
      <c r="D32" s="405">
        <v>9682.1</v>
      </c>
    </row>
    <row r="33" spans="1:4" ht="31.2" x14ac:dyDescent="0.3">
      <c r="A33" s="191">
        <v>18</v>
      </c>
      <c r="B33" s="191" t="s">
        <v>314</v>
      </c>
      <c r="C33" s="961" t="s">
        <v>608</v>
      </c>
      <c r="D33" s="406">
        <v>134.9</v>
      </c>
    </row>
    <row r="34" spans="1:4" ht="31.2" x14ac:dyDescent="0.3">
      <c r="A34" s="191">
        <v>19</v>
      </c>
      <c r="B34" s="191" t="s">
        <v>315</v>
      </c>
      <c r="C34" s="961" t="s">
        <v>449</v>
      </c>
      <c r="D34" s="406">
        <v>0.8</v>
      </c>
    </row>
    <row r="35" spans="1:4" ht="31.2" x14ac:dyDescent="0.3">
      <c r="A35" s="191">
        <v>20</v>
      </c>
      <c r="B35" s="191" t="s">
        <v>478</v>
      </c>
      <c r="C35" s="961" t="s">
        <v>605</v>
      </c>
      <c r="D35" s="406">
        <v>23.286999999999999</v>
      </c>
    </row>
    <row r="36" spans="1:4" ht="15.6" x14ac:dyDescent="0.3">
      <c r="A36" s="191">
        <v>21</v>
      </c>
      <c r="B36" s="962" t="s">
        <v>316</v>
      </c>
      <c r="C36" s="965" t="s">
        <v>820</v>
      </c>
      <c r="D36" s="963">
        <f>SUM(D37:D56)</f>
        <v>3906.2113399999998</v>
      </c>
    </row>
    <row r="37" spans="1:4" ht="31.2" x14ac:dyDescent="0.3">
      <c r="A37" s="191">
        <v>22</v>
      </c>
      <c r="B37" s="191" t="s">
        <v>317</v>
      </c>
      <c r="C37" s="961" t="s">
        <v>318</v>
      </c>
      <c r="D37" s="406">
        <v>179.6</v>
      </c>
    </row>
    <row r="38" spans="1:4" ht="15.6" x14ac:dyDescent="0.3">
      <c r="A38" s="191">
        <v>23</v>
      </c>
      <c r="B38" s="191" t="s">
        <v>402</v>
      </c>
      <c r="C38" s="407" t="s">
        <v>450</v>
      </c>
      <c r="D38" s="406">
        <v>131</v>
      </c>
    </row>
    <row r="39" spans="1:4" ht="31.2" x14ac:dyDescent="0.3">
      <c r="A39" s="191">
        <v>24</v>
      </c>
      <c r="B39" s="191" t="s">
        <v>479</v>
      </c>
      <c r="C39" s="961" t="s">
        <v>638</v>
      </c>
      <c r="D39" s="406">
        <v>52.581000000000003</v>
      </c>
    </row>
    <row r="40" spans="1:4" ht="31.2" x14ac:dyDescent="0.3">
      <c r="A40" s="191">
        <v>25</v>
      </c>
      <c r="B40" s="191" t="s">
        <v>480</v>
      </c>
      <c r="C40" s="961" t="s">
        <v>429</v>
      </c>
      <c r="D40" s="406">
        <v>92.33</v>
      </c>
    </row>
    <row r="41" spans="1:4" ht="15.6" x14ac:dyDescent="0.3">
      <c r="A41" s="191">
        <v>26</v>
      </c>
      <c r="B41" s="191" t="s">
        <v>481</v>
      </c>
      <c r="C41" s="961" t="s">
        <v>409</v>
      </c>
      <c r="D41" s="406">
        <f>112.19267-10.2</f>
        <v>101.99267</v>
      </c>
    </row>
    <row r="42" spans="1:4" ht="15.6" x14ac:dyDescent="0.3">
      <c r="A42" s="191">
        <v>27</v>
      </c>
      <c r="B42" s="191" t="s">
        <v>403</v>
      </c>
      <c r="C42" s="961" t="s">
        <v>425</v>
      </c>
      <c r="D42" s="406">
        <v>24.678999999999998</v>
      </c>
    </row>
    <row r="43" spans="1:4" ht="31.2" x14ac:dyDescent="0.3">
      <c r="A43" s="191">
        <v>28</v>
      </c>
      <c r="B43" s="191" t="s">
        <v>467</v>
      </c>
      <c r="C43" s="961" t="s">
        <v>468</v>
      </c>
      <c r="D43" s="406">
        <v>56.75</v>
      </c>
    </row>
    <row r="44" spans="1:4" ht="31.2" x14ac:dyDescent="0.3">
      <c r="A44" s="191">
        <v>29</v>
      </c>
      <c r="B44" s="191" t="s">
        <v>469</v>
      </c>
      <c r="C44" s="961" t="s">
        <v>470</v>
      </c>
      <c r="D44" s="406">
        <v>46.390999999999998</v>
      </c>
    </row>
    <row r="45" spans="1:4" ht="15.6" x14ac:dyDescent="0.3">
      <c r="A45" s="191">
        <v>30</v>
      </c>
      <c r="B45" s="191" t="s">
        <v>471</v>
      </c>
      <c r="C45" s="961" t="s">
        <v>472</v>
      </c>
      <c r="D45" s="406">
        <v>18.992999999999999</v>
      </c>
    </row>
    <row r="46" spans="1:4" ht="31.2" x14ac:dyDescent="0.3">
      <c r="A46" s="191">
        <v>3</v>
      </c>
      <c r="B46" s="191" t="s">
        <v>473</v>
      </c>
      <c r="C46" s="961" t="s">
        <v>474</v>
      </c>
      <c r="D46" s="408">
        <f>62.77544+5.40431</f>
        <v>68.179749999999999</v>
      </c>
    </row>
    <row r="47" spans="1:4" ht="46.8" x14ac:dyDescent="0.3">
      <c r="A47" s="191">
        <v>32</v>
      </c>
      <c r="B47" s="191" t="s">
        <v>482</v>
      </c>
      <c r="C47" s="961" t="s">
        <v>537</v>
      </c>
      <c r="D47" s="405">
        <f>24.976+4.592</f>
        <v>29.567999999999998</v>
      </c>
    </row>
    <row r="48" spans="1:4" ht="15.6" x14ac:dyDescent="0.3">
      <c r="A48" s="191">
        <v>33</v>
      </c>
      <c r="B48" s="191" t="s">
        <v>488</v>
      </c>
      <c r="C48" s="961" t="s">
        <v>489</v>
      </c>
      <c r="D48" s="409">
        <v>28.693200000000001</v>
      </c>
    </row>
    <row r="49" spans="1:5" ht="15.6" x14ac:dyDescent="0.3">
      <c r="A49" s="191">
        <f>A48+1</f>
        <v>34</v>
      </c>
      <c r="B49" s="191" t="s">
        <v>490</v>
      </c>
      <c r="C49" s="961" t="s">
        <v>475</v>
      </c>
      <c r="D49" s="408">
        <v>657.9</v>
      </c>
    </row>
    <row r="50" spans="1:5" ht="31.2" x14ac:dyDescent="0.3">
      <c r="A50" s="191">
        <v>35</v>
      </c>
      <c r="B50" s="191" t="s">
        <v>506</v>
      </c>
      <c r="C50" s="961" t="s">
        <v>602</v>
      </c>
      <c r="D50" s="405">
        <f>3163.109+28.641-834.4</f>
        <v>2357.35</v>
      </c>
    </row>
    <row r="51" spans="1:5" ht="46.8" x14ac:dyDescent="0.3">
      <c r="A51" s="191">
        <v>36</v>
      </c>
      <c r="B51" s="191" t="s">
        <v>508</v>
      </c>
      <c r="C51" s="961" t="s">
        <v>597</v>
      </c>
      <c r="D51" s="408">
        <v>6.3719999999999999</v>
      </c>
    </row>
    <row r="52" spans="1:5" ht="31.2" x14ac:dyDescent="0.3">
      <c r="A52" s="191">
        <v>37</v>
      </c>
      <c r="B52" s="191" t="s">
        <v>510</v>
      </c>
      <c r="C52" s="961" t="s">
        <v>539</v>
      </c>
      <c r="D52" s="408">
        <v>14.891719999999999</v>
      </c>
    </row>
    <row r="53" spans="1:5" ht="62.4" x14ac:dyDescent="0.3">
      <c r="A53" s="191">
        <v>38</v>
      </c>
      <c r="B53" s="191" t="s">
        <v>639</v>
      </c>
      <c r="C53" s="961" t="s">
        <v>526</v>
      </c>
      <c r="D53" s="408">
        <f>16.863+5.011</f>
        <v>21.873999999999999</v>
      </c>
      <c r="E53" s="350"/>
    </row>
    <row r="54" spans="1:5" ht="15.6" x14ac:dyDescent="0.3">
      <c r="A54" s="191">
        <v>39</v>
      </c>
      <c r="B54" s="191" t="s">
        <v>640</v>
      </c>
      <c r="C54" s="961" t="s">
        <v>542</v>
      </c>
      <c r="D54" s="408">
        <v>5.9</v>
      </c>
    </row>
    <row r="55" spans="1:5" ht="46.8" x14ac:dyDescent="0.3">
      <c r="A55" s="191">
        <v>40</v>
      </c>
      <c r="B55" s="191" t="s">
        <v>541</v>
      </c>
      <c r="C55" s="961" t="s">
        <v>543</v>
      </c>
      <c r="D55" s="405">
        <f>4.547+5.503</f>
        <v>10.050000000000001</v>
      </c>
      <c r="E55" s="1"/>
    </row>
    <row r="56" spans="1:5" ht="31.2" x14ac:dyDescent="0.3">
      <c r="A56" s="191">
        <v>41</v>
      </c>
      <c r="B56" s="191" t="s">
        <v>819</v>
      </c>
      <c r="C56" s="961" t="s">
        <v>591</v>
      </c>
      <c r="D56" s="405">
        <v>1.1160000000000001</v>
      </c>
      <c r="E56" s="1"/>
    </row>
    <row r="57" spans="1:5" ht="15.6" x14ac:dyDescent="0.3">
      <c r="A57" s="962">
        <v>42</v>
      </c>
      <c r="B57" s="962" t="s">
        <v>319</v>
      </c>
      <c r="C57" s="965" t="s">
        <v>821</v>
      </c>
      <c r="D57" s="966">
        <f>D58+D59+D60+D62+D63+D64+D61+D65+D66+D67</f>
        <v>4243.7604199999996</v>
      </c>
    </row>
    <row r="58" spans="1:5" ht="15.6" x14ac:dyDescent="0.3">
      <c r="A58" s="191">
        <v>43</v>
      </c>
      <c r="B58" s="191" t="s">
        <v>320</v>
      </c>
      <c r="C58" s="407" t="s">
        <v>451</v>
      </c>
      <c r="D58" s="406">
        <f>1587+666</f>
        <v>2253</v>
      </c>
    </row>
    <row r="59" spans="1:5" ht="31.2" x14ac:dyDescent="0.3">
      <c r="A59" s="191">
        <v>44</v>
      </c>
      <c r="B59" s="191" t="s">
        <v>321</v>
      </c>
      <c r="C59" s="961" t="s">
        <v>461</v>
      </c>
      <c r="D59" s="406">
        <v>33.564</v>
      </c>
    </row>
    <row r="60" spans="1:5" ht="15.6" x14ac:dyDescent="0.3">
      <c r="A60" s="191">
        <v>45</v>
      </c>
      <c r="B60" s="191" t="s">
        <v>491</v>
      </c>
      <c r="C60" s="961" t="s">
        <v>475</v>
      </c>
      <c r="D60" s="406">
        <v>1835.9</v>
      </c>
    </row>
    <row r="61" spans="1:5" ht="31.2" x14ac:dyDescent="0.3">
      <c r="A61" s="191">
        <v>46</v>
      </c>
      <c r="B61" s="191" t="s">
        <v>569</v>
      </c>
      <c r="C61" s="961" t="s">
        <v>592</v>
      </c>
      <c r="D61" s="408">
        <v>16.495069999999998</v>
      </c>
    </row>
    <row r="62" spans="1:5" ht="46.8" x14ac:dyDescent="0.3">
      <c r="A62" s="191">
        <v>47</v>
      </c>
      <c r="B62" s="191" t="s">
        <v>570</v>
      </c>
      <c r="C62" s="961" t="s">
        <v>572</v>
      </c>
      <c r="D62" s="967">
        <v>59.293869999999998</v>
      </c>
    </row>
    <row r="63" spans="1:5" ht="46.8" x14ac:dyDescent="0.3">
      <c r="A63" s="191">
        <v>48</v>
      </c>
      <c r="B63" s="191" t="s">
        <v>577</v>
      </c>
      <c r="C63" s="961" t="s">
        <v>573</v>
      </c>
      <c r="D63" s="967">
        <v>0.39688000000000001</v>
      </c>
    </row>
    <row r="64" spans="1:5" ht="31.2" x14ac:dyDescent="0.3">
      <c r="A64" s="191">
        <v>49</v>
      </c>
      <c r="B64" s="191" t="s">
        <v>578</v>
      </c>
      <c r="C64" s="961" t="s">
        <v>603</v>
      </c>
      <c r="D64" s="408">
        <v>31.616</v>
      </c>
    </row>
    <row r="65" spans="1:5" ht="31.2" x14ac:dyDescent="0.3">
      <c r="A65" s="191">
        <v>50</v>
      </c>
      <c r="B65" s="191" t="s">
        <v>813</v>
      </c>
      <c r="C65" s="961" t="s">
        <v>591</v>
      </c>
      <c r="D65" s="408">
        <v>6.5564999999999998</v>
      </c>
    </row>
    <row r="66" spans="1:5" ht="31.2" x14ac:dyDescent="0.3">
      <c r="A66" s="191">
        <v>51</v>
      </c>
      <c r="B66" s="191" t="s">
        <v>814</v>
      </c>
      <c r="C66" s="961" t="s">
        <v>674</v>
      </c>
      <c r="D66" s="408">
        <v>3.6743299999999999</v>
      </c>
    </row>
    <row r="67" spans="1:5" ht="15.6" x14ac:dyDescent="0.3">
      <c r="A67" s="191">
        <v>52</v>
      </c>
      <c r="B67" s="191" t="s">
        <v>826</v>
      </c>
      <c r="C67" s="961" t="s">
        <v>825</v>
      </c>
      <c r="D67" s="408">
        <v>3.2637700000000001</v>
      </c>
    </row>
    <row r="68" spans="1:5" ht="15.6" x14ac:dyDescent="0.25">
      <c r="A68" s="191">
        <v>53</v>
      </c>
      <c r="B68" s="193" t="s">
        <v>322</v>
      </c>
      <c r="C68" s="333" t="s">
        <v>827</v>
      </c>
      <c r="D68" s="968">
        <f>D69+D74+D75+D78+D79</f>
        <v>3685.3481900000006</v>
      </c>
    </row>
    <row r="69" spans="1:5" ht="15.6" x14ac:dyDescent="0.25">
      <c r="A69" s="191">
        <v>54</v>
      </c>
      <c r="B69" s="962" t="s">
        <v>323</v>
      </c>
      <c r="C69" s="334" t="s">
        <v>828</v>
      </c>
      <c r="D69" s="969">
        <f>D70+D72+D73+D71</f>
        <v>626.72917000000007</v>
      </c>
    </row>
    <row r="70" spans="1:5" ht="31.2" x14ac:dyDescent="0.25">
      <c r="A70" s="191">
        <v>55</v>
      </c>
      <c r="B70" s="191" t="s">
        <v>324</v>
      </c>
      <c r="C70" s="331" t="s">
        <v>325</v>
      </c>
      <c r="D70" s="196">
        <v>400</v>
      </c>
    </row>
    <row r="71" spans="1:5" ht="15.6" x14ac:dyDescent="0.25">
      <c r="A71" s="191">
        <v>56</v>
      </c>
      <c r="B71" s="191" t="s">
        <v>544</v>
      </c>
      <c r="C71" s="331" t="s">
        <v>545</v>
      </c>
      <c r="D71" s="970">
        <f>23.47917+2.8</f>
        <v>26.279170000000001</v>
      </c>
    </row>
    <row r="72" spans="1:5" ht="15.6" x14ac:dyDescent="0.25">
      <c r="A72" s="191">
        <v>57</v>
      </c>
      <c r="B72" s="191" t="s">
        <v>492</v>
      </c>
      <c r="C72" s="331" t="s">
        <v>326</v>
      </c>
      <c r="D72" s="971">
        <v>44.45</v>
      </c>
      <c r="E72" s="352"/>
    </row>
    <row r="73" spans="1:5" ht="15.6" x14ac:dyDescent="0.25">
      <c r="A73" s="191">
        <v>58</v>
      </c>
      <c r="B73" s="191" t="s">
        <v>327</v>
      </c>
      <c r="C73" s="331" t="s">
        <v>493</v>
      </c>
      <c r="D73" s="196">
        <v>156</v>
      </c>
    </row>
    <row r="74" spans="1:5" ht="15.6" x14ac:dyDescent="0.25">
      <c r="A74" s="191">
        <v>59</v>
      </c>
      <c r="B74" s="191" t="s">
        <v>494</v>
      </c>
      <c r="C74" s="331" t="s">
        <v>328</v>
      </c>
      <c r="D74" s="406">
        <f>1746.79815+13.12485+1.5</f>
        <v>1761.423</v>
      </c>
    </row>
    <row r="75" spans="1:5" ht="15.6" x14ac:dyDescent="0.25">
      <c r="A75" s="191">
        <v>60</v>
      </c>
      <c r="B75" s="962" t="s">
        <v>495</v>
      </c>
      <c r="C75" s="334" t="s">
        <v>829</v>
      </c>
      <c r="D75" s="969">
        <f>D76+D77</f>
        <v>1088.4000000000001</v>
      </c>
    </row>
    <row r="76" spans="1:5" ht="15.6" x14ac:dyDescent="0.25">
      <c r="A76" s="191">
        <v>61</v>
      </c>
      <c r="B76" s="191" t="s">
        <v>496</v>
      </c>
      <c r="C76" s="331" t="s">
        <v>329</v>
      </c>
      <c r="D76" s="196">
        <f>40+6.9</f>
        <v>46.9</v>
      </c>
    </row>
    <row r="77" spans="1:5" ht="15.6" x14ac:dyDescent="0.25">
      <c r="A77" s="191">
        <v>62</v>
      </c>
      <c r="B77" s="191" t="s">
        <v>497</v>
      </c>
      <c r="C77" s="331" t="s">
        <v>330</v>
      </c>
      <c r="D77" s="971">
        <f>1000+41.5</f>
        <v>1041.5</v>
      </c>
      <c r="E77" s="352"/>
    </row>
    <row r="78" spans="1:5" ht="15.6" x14ac:dyDescent="0.25">
      <c r="A78" s="191">
        <v>63</v>
      </c>
      <c r="B78" s="191" t="s">
        <v>331</v>
      </c>
      <c r="C78" s="331" t="s">
        <v>332</v>
      </c>
      <c r="D78" s="196">
        <f>35.7+2.2</f>
        <v>37.900000000000006</v>
      </c>
      <c r="E78" s="352"/>
    </row>
    <row r="79" spans="1:5" ht="15.6" x14ac:dyDescent="0.25">
      <c r="A79" s="191">
        <v>64</v>
      </c>
      <c r="B79" s="191" t="s">
        <v>498</v>
      </c>
      <c r="C79" s="331" t="s">
        <v>333</v>
      </c>
      <c r="D79" s="970">
        <f>158.4+11.79602+0.7</f>
        <v>170.89601999999999</v>
      </c>
      <c r="E79" s="352"/>
    </row>
    <row r="80" spans="1:5" ht="31.2" x14ac:dyDescent="0.3">
      <c r="A80" s="191">
        <v>65</v>
      </c>
      <c r="B80" s="193" t="s">
        <v>334</v>
      </c>
      <c r="C80" s="972" t="s">
        <v>335</v>
      </c>
      <c r="D80" s="194">
        <f>65+48.4</f>
        <v>113.4</v>
      </c>
      <c r="E80" s="352"/>
    </row>
    <row r="81" spans="1:7" ht="15.6" x14ac:dyDescent="0.25">
      <c r="A81" s="191">
        <v>66</v>
      </c>
      <c r="B81" s="193"/>
      <c r="C81" s="333" t="s">
        <v>830</v>
      </c>
      <c r="D81" s="986">
        <f>D16+D26+D68+D80</f>
        <v>57277.292439999997</v>
      </c>
      <c r="E81" s="352"/>
    </row>
    <row r="82" spans="1:7" ht="15.6" x14ac:dyDescent="0.25">
      <c r="A82" s="1013">
        <v>67</v>
      </c>
      <c r="B82" s="1013"/>
      <c r="C82" s="331" t="s">
        <v>336</v>
      </c>
      <c r="D82" s="970">
        <f>D83+D84+D85</f>
        <v>2413.97696</v>
      </c>
      <c r="E82" s="177"/>
      <c r="G82" s="177"/>
    </row>
    <row r="83" spans="1:7" ht="15.6" x14ac:dyDescent="0.3">
      <c r="A83" s="1014"/>
      <c r="B83" s="1014"/>
      <c r="C83" s="331" t="s">
        <v>337</v>
      </c>
      <c r="D83" s="973">
        <v>234.10410999999999</v>
      </c>
    </row>
    <row r="84" spans="1:7" ht="15.6" x14ac:dyDescent="0.3">
      <c r="A84" s="1014"/>
      <c r="B84" s="1014"/>
      <c r="C84" s="331" t="s">
        <v>338</v>
      </c>
      <c r="D84" s="973">
        <v>495.64854000000003</v>
      </c>
    </row>
    <row r="85" spans="1:7" ht="15.6" x14ac:dyDescent="0.3">
      <c r="A85" s="1014"/>
      <c r="B85" s="1014"/>
      <c r="C85" s="407" t="s">
        <v>339</v>
      </c>
      <c r="D85" s="973">
        <v>1684.2243100000001</v>
      </c>
    </row>
    <row r="86" spans="1:7" ht="15.6" x14ac:dyDescent="0.3">
      <c r="A86" s="410">
        <v>68</v>
      </c>
      <c r="B86" s="410"/>
      <c r="C86" s="331" t="s">
        <v>407</v>
      </c>
      <c r="D86" s="409">
        <f>1067.7-402.0226</f>
        <v>665.67740000000003</v>
      </c>
    </row>
    <row r="87" spans="1:7" ht="15.6" x14ac:dyDescent="0.3">
      <c r="A87" s="197">
        <v>69</v>
      </c>
      <c r="B87" s="197"/>
      <c r="C87" s="333" t="s">
        <v>401</v>
      </c>
      <c r="D87" s="985">
        <f>D81+D82+D86</f>
        <v>60356.946799999998</v>
      </c>
    </row>
    <row r="90" spans="1:7" x14ac:dyDescent="0.25">
      <c r="D90" s="177"/>
    </row>
    <row r="93" spans="1:7" x14ac:dyDescent="0.25">
      <c r="D93" s="177"/>
    </row>
    <row r="96" spans="1:7" x14ac:dyDescent="0.25">
      <c r="E96" s="177"/>
    </row>
  </sheetData>
  <mergeCells count="5">
    <mergeCell ref="E9:G9"/>
    <mergeCell ref="C8:H8"/>
    <mergeCell ref="A82:A85"/>
    <mergeCell ref="B82:B85"/>
    <mergeCell ref="B11:E11"/>
  </mergeCells>
  <pageMargins left="0.70866141732283472" right="0.70866141732283472" top="0.74803149606299213" bottom="0.74803149606299213" header="0.31496062992125984" footer="0.31496062992125984"/>
  <pageSetup paperSize="9" scale="8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36"/>
  <sheetViews>
    <sheetView topLeftCell="A20" workbookViewId="0">
      <selection activeCell="K17" sqref="K17"/>
    </sheetView>
  </sheetViews>
  <sheetFormatPr defaultRowHeight="13.2" x14ac:dyDescent="0.25"/>
  <cols>
    <col min="1" max="1" width="6.5546875" customWidth="1"/>
    <col min="2" max="2" width="3.5546875" customWidth="1"/>
    <col min="3" max="3" width="5.109375" customWidth="1"/>
    <col min="4" max="4" width="38" customWidth="1"/>
    <col min="5" max="5" width="11.88671875" customWidth="1"/>
    <col min="6" max="7" width="8.6640625" customWidth="1"/>
    <col min="8" max="8" width="9.88671875" customWidth="1"/>
  </cols>
  <sheetData>
    <row r="1" spans="2:9" x14ac:dyDescent="0.25">
      <c r="C1" s="169" t="s">
        <v>643</v>
      </c>
      <c r="D1" s="181"/>
      <c r="E1" s="1117" t="s">
        <v>664</v>
      </c>
      <c r="F1" s="1031"/>
      <c r="G1" s="1031"/>
      <c r="H1" s="1031"/>
    </row>
    <row r="2" spans="2:9" ht="12.75" customHeight="1" x14ac:dyDescent="0.25">
      <c r="C2" s="207" t="s">
        <v>644</v>
      </c>
      <c r="D2" s="208"/>
      <c r="E2" s="1118" t="s">
        <v>666</v>
      </c>
      <c r="F2" s="1119"/>
      <c r="G2" s="1119"/>
      <c r="H2" s="1119"/>
    </row>
    <row r="3" spans="2:9" x14ac:dyDescent="0.25">
      <c r="C3" s="207"/>
      <c r="D3" s="208"/>
      <c r="E3" s="1118" t="s">
        <v>665</v>
      </c>
      <c r="F3" s="1031"/>
      <c r="G3" s="1031"/>
      <c r="H3" s="1031"/>
    </row>
    <row r="4" spans="2:9" x14ac:dyDescent="0.25">
      <c r="C4" s="207"/>
      <c r="D4" s="6"/>
      <c r="E4" s="1117" t="s">
        <v>483</v>
      </c>
      <c r="F4" s="1031"/>
      <c r="G4" s="1031"/>
      <c r="H4" s="1031"/>
    </row>
    <row r="5" spans="2:9" x14ac:dyDescent="0.25">
      <c r="C5" s="207"/>
      <c r="D5" s="6"/>
      <c r="E5" s="1120" t="s">
        <v>835</v>
      </c>
      <c r="F5" s="1031"/>
      <c r="G5" s="1031"/>
      <c r="H5" s="1031"/>
    </row>
    <row r="6" spans="2:9" x14ac:dyDescent="0.25">
      <c r="C6" s="207"/>
      <c r="D6" s="6"/>
      <c r="E6" s="1117" t="s">
        <v>484</v>
      </c>
      <c r="F6" s="1031"/>
      <c r="G6" s="6"/>
      <c r="H6" s="6"/>
    </row>
    <row r="7" spans="2:9" x14ac:dyDescent="0.25">
      <c r="C7" s="207"/>
      <c r="D7" s="208"/>
      <c r="E7" s="208"/>
      <c r="F7" s="208"/>
      <c r="G7" s="6"/>
    </row>
    <row r="9" spans="2:9" x14ac:dyDescent="0.25">
      <c r="B9" s="1121" t="s">
        <v>645</v>
      </c>
      <c r="C9" s="1122"/>
      <c r="D9" s="1122"/>
      <c r="E9" s="1122"/>
      <c r="F9" s="1122"/>
      <c r="G9" s="1122"/>
      <c r="H9" s="1122"/>
      <c r="I9" s="1122"/>
    </row>
    <row r="10" spans="2:9" ht="14.4" thickBot="1" x14ac:dyDescent="0.35">
      <c r="B10" s="373"/>
      <c r="C10" s="392"/>
      <c r="D10" s="392"/>
      <c r="E10" s="386"/>
      <c r="F10" s="1123" t="s">
        <v>646</v>
      </c>
      <c r="G10" s="1123"/>
      <c r="H10" s="1124"/>
      <c r="I10" s="373"/>
    </row>
    <row r="11" spans="2:9" x14ac:dyDescent="0.25">
      <c r="B11" s="373"/>
      <c r="C11" s="1125" t="s">
        <v>647</v>
      </c>
      <c r="D11" s="1125" t="s">
        <v>648</v>
      </c>
      <c r="E11" s="1128" t="s">
        <v>649</v>
      </c>
      <c r="F11" s="1131" t="s">
        <v>650</v>
      </c>
      <c r="G11" s="1131" t="s">
        <v>803</v>
      </c>
      <c r="H11" s="1131" t="s">
        <v>651</v>
      </c>
      <c r="I11" s="1136" t="s">
        <v>652</v>
      </c>
    </row>
    <row r="12" spans="2:9" x14ac:dyDescent="0.25">
      <c r="B12" s="373"/>
      <c r="C12" s="1126"/>
      <c r="D12" s="1126"/>
      <c r="E12" s="1129"/>
      <c r="F12" s="1132"/>
      <c r="G12" s="1132"/>
      <c r="H12" s="1134"/>
      <c r="I12" s="1137"/>
    </row>
    <row r="13" spans="2:9" ht="13.8" thickBot="1" x14ac:dyDescent="0.3">
      <c r="B13" s="373"/>
      <c r="C13" s="1127"/>
      <c r="D13" s="1127"/>
      <c r="E13" s="1130"/>
      <c r="F13" s="1133"/>
      <c r="G13" s="1133"/>
      <c r="H13" s="1135"/>
      <c r="I13" s="1138"/>
    </row>
    <row r="14" spans="2:9" ht="13.8" x14ac:dyDescent="0.25">
      <c r="B14" s="373"/>
      <c r="C14" s="387">
        <v>1</v>
      </c>
      <c r="D14" s="387" t="s">
        <v>653</v>
      </c>
      <c r="E14" s="381"/>
      <c r="F14" s="389"/>
      <c r="G14" s="389"/>
      <c r="H14" s="397"/>
      <c r="I14" s="401"/>
    </row>
    <row r="15" spans="2:9" ht="13.8" x14ac:dyDescent="0.25">
      <c r="B15" s="373"/>
      <c r="C15" s="391">
        <v>2</v>
      </c>
      <c r="D15" s="391" t="s">
        <v>654</v>
      </c>
      <c r="E15" s="388">
        <v>2120</v>
      </c>
      <c r="F15" s="399"/>
      <c r="G15" s="399"/>
      <c r="H15" s="403"/>
      <c r="I15" s="390"/>
    </row>
    <row r="16" spans="2:9" ht="13.8" x14ac:dyDescent="0.25">
      <c r="B16" s="373"/>
      <c r="C16" s="391">
        <v>3</v>
      </c>
      <c r="D16" s="391" t="s">
        <v>655</v>
      </c>
      <c r="E16" s="388">
        <v>2214</v>
      </c>
      <c r="F16" s="399"/>
      <c r="G16" s="399"/>
      <c r="H16" s="403"/>
      <c r="I16" s="390"/>
    </row>
    <row r="17" spans="2:9" ht="13.8" x14ac:dyDescent="0.25">
      <c r="B17" s="373"/>
      <c r="C17" s="391">
        <v>4</v>
      </c>
      <c r="D17" s="391" t="s">
        <v>656</v>
      </c>
      <c r="E17" s="388"/>
      <c r="F17" s="399"/>
      <c r="G17" s="399"/>
      <c r="H17" s="403"/>
      <c r="I17" s="390">
        <v>-39</v>
      </c>
    </row>
    <row r="18" spans="2:9" ht="13.8" x14ac:dyDescent="0.25">
      <c r="B18" s="373"/>
      <c r="C18" s="391">
        <v>5</v>
      </c>
      <c r="D18" s="391" t="s">
        <v>657</v>
      </c>
      <c r="E18" s="388"/>
      <c r="F18" s="399"/>
      <c r="G18" s="399"/>
      <c r="H18" s="403"/>
      <c r="I18" s="390">
        <v>-15</v>
      </c>
    </row>
    <row r="19" spans="2:9" ht="13.8" x14ac:dyDescent="0.25">
      <c r="B19" s="373"/>
      <c r="C19" s="391">
        <v>6</v>
      </c>
      <c r="D19" s="391" t="s">
        <v>658</v>
      </c>
      <c r="E19" s="388"/>
      <c r="F19" s="399"/>
      <c r="G19" s="399"/>
      <c r="H19" s="403"/>
      <c r="I19" s="390"/>
    </row>
    <row r="20" spans="2:9" ht="13.8" x14ac:dyDescent="0.25">
      <c r="B20" s="373"/>
      <c r="C20" s="391">
        <v>7</v>
      </c>
      <c r="D20" s="391" t="s">
        <v>18</v>
      </c>
      <c r="E20" s="388"/>
      <c r="F20" s="399"/>
      <c r="G20" s="399">
        <v>57</v>
      </c>
      <c r="H20" s="403">
        <v>-1592</v>
      </c>
      <c r="I20" s="390">
        <v>-60</v>
      </c>
    </row>
    <row r="21" spans="2:9" ht="30" customHeight="1" x14ac:dyDescent="0.25">
      <c r="B21" s="373"/>
      <c r="C21" s="391">
        <v>8</v>
      </c>
      <c r="D21" s="394" t="s">
        <v>659</v>
      </c>
      <c r="E21" s="388"/>
      <c r="F21" s="399"/>
      <c r="G21" s="399"/>
      <c r="H21" s="403"/>
      <c r="I21" s="390"/>
    </row>
    <row r="22" spans="2:9" ht="13.8" x14ac:dyDescent="0.25">
      <c r="B22" s="373"/>
      <c r="C22" s="391">
        <v>9</v>
      </c>
      <c r="D22" s="391" t="s">
        <v>277</v>
      </c>
      <c r="E22" s="388"/>
      <c r="F22" s="399"/>
      <c r="G22" s="399">
        <v>1630</v>
      </c>
      <c r="H22" s="403">
        <v>119</v>
      </c>
      <c r="I22" s="390">
        <v>27</v>
      </c>
    </row>
    <row r="23" spans="2:9" ht="27.6" x14ac:dyDescent="0.25">
      <c r="B23" s="373"/>
      <c r="C23" s="391">
        <v>10</v>
      </c>
      <c r="D23" s="394" t="s">
        <v>660</v>
      </c>
      <c r="E23" s="388"/>
      <c r="F23" s="399"/>
      <c r="G23" s="399">
        <v>429</v>
      </c>
      <c r="H23" s="403"/>
      <c r="I23" s="390">
        <v>27</v>
      </c>
    </row>
    <row r="24" spans="2:9" ht="27.6" x14ac:dyDescent="0.25">
      <c r="B24" s="373"/>
      <c r="C24" s="391">
        <v>11</v>
      </c>
      <c r="D24" s="394" t="s">
        <v>661</v>
      </c>
      <c r="E24" s="388"/>
      <c r="F24" s="399"/>
      <c r="G24" s="399"/>
      <c r="H24" s="403"/>
      <c r="I24" s="390">
        <v>-3</v>
      </c>
    </row>
    <row r="25" spans="2:9" ht="13.8" x14ac:dyDescent="0.25">
      <c r="B25" s="373"/>
      <c r="C25" s="391">
        <v>12</v>
      </c>
      <c r="D25" s="391" t="s">
        <v>98</v>
      </c>
      <c r="E25" s="388">
        <v>-6609</v>
      </c>
      <c r="F25" s="399"/>
      <c r="G25" s="399">
        <v>115</v>
      </c>
      <c r="H25" s="403">
        <v>137</v>
      </c>
      <c r="I25" s="390">
        <v>-102</v>
      </c>
    </row>
    <row r="26" spans="2:9" ht="13.8" x14ac:dyDescent="0.25">
      <c r="B26" s="373"/>
      <c r="C26" s="391">
        <v>13</v>
      </c>
      <c r="D26" s="382" t="s">
        <v>20</v>
      </c>
      <c r="E26" s="388"/>
      <c r="F26" s="399"/>
      <c r="G26" s="399">
        <v>257</v>
      </c>
      <c r="H26" s="403">
        <v>62</v>
      </c>
      <c r="I26" s="390">
        <v>-3</v>
      </c>
    </row>
    <row r="27" spans="2:9" ht="13.8" x14ac:dyDescent="0.25">
      <c r="B27" s="373"/>
      <c r="C27" s="391">
        <v>14</v>
      </c>
      <c r="D27" s="391" t="s">
        <v>279</v>
      </c>
      <c r="E27" s="388">
        <v>6360</v>
      </c>
      <c r="F27" s="399">
        <v>-2646</v>
      </c>
      <c r="G27" s="399">
        <v>572</v>
      </c>
      <c r="H27" s="403">
        <v>60</v>
      </c>
      <c r="I27" s="390">
        <v>153</v>
      </c>
    </row>
    <row r="28" spans="2:9" ht="13.8" x14ac:dyDescent="0.25">
      <c r="B28" s="373"/>
      <c r="C28" s="391">
        <v>15</v>
      </c>
      <c r="D28" s="391" t="s">
        <v>280</v>
      </c>
      <c r="E28" s="388">
        <v>-4969</v>
      </c>
      <c r="F28" s="399">
        <v>-6470</v>
      </c>
      <c r="G28" s="399"/>
      <c r="H28" s="403"/>
      <c r="I28" s="390">
        <v>-177</v>
      </c>
    </row>
    <row r="29" spans="2:9" ht="27.6" x14ac:dyDescent="0.25">
      <c r="B29" s="373"/>
      <c r="C29" s="391">
        <v>16</v>
      </c>
      <c r="D29" s="394" t="s">
        <v>662</v>
      </c>
      <c r="E29" s="388"/>
      <c r="F29" s="399"/>
      <c r="G29" s="399"/>
      <c r="H29" s="403"/>
      <c r="I29" s="390"/>
    </row>
    <row r="30" spans="2:9" ht="13.8" x14ac:dyDescent="0.25">
      <c r="B30" s="373"/>
      <c r="C30" s="391">
        <v>17</v>
      </c>
      <c r="D30" s="391" t="s">
        <v>22</v>
      </c>
      <c r="E30" s="388"/>
      <c r="F30" s="399"/>
      <c r="G30" s="399">
        <v>143</v>
      </c>
      <c r="H30" s="403">
        <v>38</v>
      </c>
      <c r="I30" s="390">
        <v>-27</v>
      </c>
    </row>
    <row r="31" spans="2:9" ht="13.8" x14ac:dyDescent="0.25">
      <c r="B31" s="373"/>
      <c r="C31" s="391">
        <v>18</v>
      </c>
      <c r="D31" s="391" t="s">
        <v>245</v>
      </c>
      <c r="E31" s="388"/>
      <c r="F31" s="399"/>
      <c r="G31" s="399"/>
      <c r="H31" s="403"/>
      <c r="I31" s="390"/>
    </row>
    <row r="32" spans="2:9" ht="13.8" x14ac:dyDescent="0.25">
      <c r="B32" s="373"/>
      <c r="C32" s="391">
        <v>19</v>
      </c>
      <c r="D32" s="391" t="s">
        <v>566</v>
      </c>
      <c r="E32" s="388"/>
      <c r="F32" s="399"/>
      <c r="G32" s="399">
        <v>315</v>
      </c>
      <c r="H32" s="403">
        <v>54</v>
      </c>
      <c r="I32" s="390">
        <v>3</v>
      </c>
    </row>
    <row r="33" spans="2:9" ht="13.8" x14ac:dyDescent="0.25">
      <c r="B33" s="373"/>
      <c r="C33" s="391">
        <v>20</v>
      </c>
      <c r="D33" s="391" t="s">
        <v>34</v>
      </c>
      <c r="E33" s="388">
        <v>884</v>
      </c>
      <c r="F33" s="399">
        <v>-2159</v>
      </c>
      <c r="G33" s="399"/>
      <c r="H33" s="403"/>
      <c r="I33" s="390">
        <v>-9</v>
      </c>
    </row>
    <row r="34" spans="2:9" ht="13.8" x14ac:dyDescent="0.25">
      <c r="B34" s="373"/>
      <c r="C34" s="391">
        <v>21</v>
      </c>
      <c r="D34" s="391" t="s">
        <v>105</v>
      </c>
      <c r="E34" s="388"/>
      <c r="F34" s="399"/>
      <c r="G34" s="399"/>
      <c r="H34" s="403"/>
      <c r="I34" s="390"/>
    </row>
    <row r="35" spans="2:9" ht="14.4" thickBot="1" x14ac:dyDescent="0.3">
      <c r="B35" s="373"/>
      <c r="C35" s="398">
        <v>22</v>
      </c>
      <c r="D35" s="398" t="s">
        <v>149</v>
      </c>
      <c r="E35" s="402"/>
      <c r="F35" s="383"/>
      <c r="G35" s="383"/>
      <c r="H35" s="393"/>
      <c r="I35" s="385"/>
    </row>
    <row r="36" spans="2:9" ht="14.4" thickBot="1" x14ac:dyDescent="0.3">
      <c r="B36" s="373"/>
      <c r="C36" s="395"/>
      <c r="D36" s="380" t="s">
        <v>663</v>
      </c>
      <c r="E36" s="400">
        <v>0</v>
      </c>
      <c r="F36" s="384">
        <v>-11275</v>
      </c>
      <c r="G36" s="384">
        <v>3518</v>
      </c>
      <c r="H36" s="384">
        <v>-1122</v>
      </c>
      <c r="I36" s="396">
        <v>-225</v>
      </c>
    </row>
  </sheetData>
  <mergeCells count="15">
    <mergeCell ref="B9:I9"/>
    <mergeCell ref="F10:H10"/>
    <mergeCell ref="C11:C13"/>
    <mergeCell ref="D11:D13"/>
    <mergeCell ref="E11:E13"/>
    <mergeCell ref="F11:F13"/>
    <mergeCell ref="G11:G13"/>
    <mergeCell ref="H11:H13"/>
    <mergeCell ref="I11:I13"/>
    <mergeCell ref="E6:F6"/>
    <mergeCell ref="E1:H1"/>
    <mergeCell ref="E3:H3"/>
    <mergeCell ref="E2:H2"/>
    <mergeCell ref="E4:H4"/>
    <mergeCell ref="E5:H5"/>
  </mergeCells>
  <pageMargins left="0.7" right="0.7" top="0.75" bottom="0.75" header="0.3" footer="0.3"/>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86"/>
  <sheetViews>
    <sheetView zoomScaleNormal="100" workbookViewId="0">
      <selection activeCell="N15" sqref="N15"/>
    </sheetView>
  </sheetViews>
  <sheetFormatPr defaultRowHeight="13.2" x14ac:dyDescent="0.25"/>
  <cols>
    <col min="1" max="1" width="4.5546875" customWidth="1"/>
    <col min="2" max="2" width="72" customWidth="1"/>
    <col min="3" max="3" width="21" customWidth="1"/>
    <col min="4" max="4" width="11.6640625" customWidth="1"/>
    <col min="5" max="5" width="10.5546875" bestFit="1" customWidth="1"/>
  </cols>
  <sheetData>
    <row r="1" spans="1:3" ht="17.25" customHeight="1" x14ac:dyDescent="0.3">
      <c r="A1" s="169"/>
      <c r="B1" s="180" t="s">
        <v>530</v>
      </c>
      <c r="C1" s="181"/>
    </row>
    <row r="2" spans="1:3" ht="16.5" customHeight="1" x14ac:dyDescent="0.3">
      <c r="A2" s="169"/>
      <c r="B2" s="180" t="s">
        <v>464</v>
      </c>
      <c r="C2" s="181"/>
    </row>
    <row r="3" spans="1:3" ht="16.5" customHeight="1" x14ac:dyDescent="0.3">
      <c r="A3" s="169"/>
      <c r="B3" s="1018" t="s">
        <v>411</v>
      </c>
      <c r="C3" s="1017"/>
    </row>
    <row r="4" spans="1:3" ht="16.5" customHeight="1" x14ac:dyDescent="0.3">
      <c r="A4" s="169"/>
      <c r="B4" s="1016" t="s">
        <v>837</v>
      </c>
      <c r="C4" s="1017"/>
    </row>
    <row r="5" spans="1:3" ht="16.5" customHeight="1" x14ac:dyDescent="0.3">
      <c r="A5" s="169"/>
      <c r="B5" s="1018" t="s">
        <v>836</v>
      </c>
      <c r="C5" s="1017"/>
    </row>
    <row r="6" spans="1:3" ht="16.5" customHeight="1" x14ac:dyDescent="0.3">
      <c r="A6" s="169"/>
      <c r="B6" s="1016" t="s">
        <v>838</v>
      </c>
      <c r="C6" s="1017"/>
    </row>
    <row r="7" spans="1:3" ht="43.5" customHeight="1" x14ac:dyDescent="0.3">
      <c r="A7" s="169"/>
      <c r="B7" s="171" t="s">
        <v>430</v>
      </c>
      <c r="C7" s="6"/>
    </row>
    <row r="8" spans="1:3" ht="24" customHeight="1" x14ac:dyDescent="0.3">
      <c r="A8" s="1"/>
      <c r="B8" s="1" t="s">
        <v>485</v>
      </c>
      <c r="C8" s="1" t="s">
        <v>503</v>
      </c>
    </row>
    <row r="9" spans="1:3" ht="15.6" x14ac:dyDescent="0.25">
      <c r="A9" s="185"/>
    </row>
    <row r="10" spans="1:3" ht="31.2" x14ac:dyDescent="0.25">
      <c r="A10" s="876" t="s">
        <v>340</v>
      </c>
      <c r="B10" s="199" t="s">
        <v>341</v>
      </c>
      <c r="C10" s="200" t="s">
        <v>499</v>
      </c>
    </row>
    <row r="11" spans="1:3" ht="15.6" x14ac:dyDescent="0.25">
      <c r="A11" s="411">
        <v>1</v>
      </c>
      <c r="B11" s="201" t="s">
        <v>523</v>
      </c>
      <c r="C11" s="202">
        <f>C12+C13+C14</f>
        <v>32.9</v>
      </c>
    </row>
    <row r="12" spans="1:3" ht="15.6" x14ac:dyDescent="0.25">
      <c r="A12" s="411">
        <v>2</v>
      </c>
      <c r="B12" s="203" t="s">
        <v>342</v>
      </c>
      <c r="C12" s="204">
        <v>26.8</v>
      </c>
    </row>
    <row r="13" spans="1:3" ht="15.6" x14ac:dyDescent="0.25">
      <c r="A13" s="411">
        <v>3</v>
      </c>
      <c r="B13" s="203" t="s">
        <v>343</v>
      </c>
      <c r="C13" s="204">
        <v>5.6</v>
      </c>
    </row>
    <row r="14" spans="1:3" ht="15.6" x14ac:dyDescent="0.25">
      <c r="A14" s="411">
        <v>4</v>
      </c>
      <c r="B14" s="203" t="s">
        <v>344</v>
      </c>
      <c r="C14" s="204">
        <v>0.5</v>
      </c>
    </row>
    <row r="15" spans="1:3" ht="15.6" x14ac:dyDescent="0.25">
      <c r="A15" s="411">
        <v>5</v>
      </c>
      <c r="B15" s="201" t="s">
        <v>524</v>
      </c>
      <c r="C15" s="205">
        <f>C16+C17+C18</f>
        <v>1349.9999999999998</v>
      </c>
    </row>
    <row r="16" spans="1:3" ht="15.6" x14ac:dyDescent="0.25">
      <c r="A16" s="411">
        <v>6</v>
      </c>
      <c r="B16" s="203" t="s">
        <v>1</v>
      </c>
      <c r="C16" s="204">
        <f>1306.6+15.1</f>
        <v>1321.6999999999998</v>
      </c>
    </row>
    <row r="17" spans="1:3" ht="15.6" x14ac:dyDescent="0.25">
      <c r="A17" s="411">
        <v>7</v>
      </c>
      <c r="B17" s="203" t="s">
        <v>345</v>
      </c>
      <c r="C17" s="204">
        <v>25.3</v>
      </c>
    </row>
    <row r="18" spans="1:3" ht="15.6" x14ac:dyDescent="0.25">
      <c r="A18" s="411">
        <v>8</v>
      </c>
      <c r="B18" s="203" t="s">
        <v>346</v>
      </c>
      <c r="C18" s="204">
        <v>3</v>
      </c>
    </row>
    <row r="19" spans="1:3" ht="15.6" x14ac:dyDescent="0.25">
      <c r="A19" s="411">
        <v>9</v>
      </c>
      <c r="B19" s="201" t="s">
        <v>347</v>
      </c>
      <c r="C19" s="205">
        <f>C20+C21+C22+C23+C24+C25+C26</f>
        <v>2745.6</v>
      </c>
    </row>
    <row r="20" spans="1:3" ht="15.6" x14ac:dyDescent="0.25">
      <c r="A20" s="411">
        <v>10</v>
      </c>
      <c r="B20" s="203" t="s">
        <v>348</v>
      </c>
      <c r="C20" s="204">
        <f>252.6-22.5</f>
        <v>230.1</v>
      </c>
    </row>
    <row r="21" spans="1:3" ht="15.6" x14ac:dyDescent="0.25">
      <c r="A21" s="411">
        <v>11</v>
      </c>
      <c r="B21" s="203" t="s">
        <v>2</v>
      </c>
      <c r="C21" s="204">
        <f>528.4-38.3</f>
        <v>490.09999999999997</v>
      </c>
    </row>
    <row r="22" spans="1:3" ht="15.6" x14ac:dyDescent="0.25">
      <c r="A22" s="411">
        <v>12</v>
      </c>
      <c r="B22" s="203" t="s">
        <v>349</v>
      </c>
      <c r="C22" s="204">
        <f>1499+166.1</f>
        <v>1665.1</v>
      </c>
    </row>
    <row r="23" spans="1:3" ht="15.6" x14ac:dyDescent="0.25">
      <c r="A23" s="411">
        <v>13</v>
      </c>
      <c r="B23" s="203" t="s">
        <v>350</v>
      </c>
      <c r="C23" s="204">
        <f>20.8+3</f>
        <v>23.8</v>
      </c>
    </row>
    <row r="24" spans="1:3" ht="15.6" x14ac:dyDescent="0.25">
      <c r="A24" s="411">
        <v>14</v>
      </c>
      <c r="B24" s="203" t="s">
        <v>219</v>
      </c>
      <c r="C24" s="204">
        <v>173</v>
      </c>
    </row>
    <row r="25" spans="1:3" ht="15.6" x14ac:dyDescent="0.25">
      <c r="A25" s="411">
        <v>15</v>
      </c>
      <c r="B25" s="203" t="s">
        <v>248</v>
      </c>
      <c r="C25" s="204">
        <v>161</v>
      </c>
    </row>
    <row r="26" spans="1:3" ht="15.6" x14ac:dyDescent="0.25">
      <c r="A26" s="411">
        <v>16</v>
      </c>
      <c r="B26" s="203" t="s">
        <v>290</v>
      </c>
      <c r="C26" s="204">
        <v>2.5</v>
      </c>
    </row>
    <row r="27" spans="1:3" ht="15.6" x14ac:dyDescent="0.25">
      <c r="A27" s="411">
        <v>17</v>
      </c>
      <c r="B27" s="201" t="s">
        <v>351</v>
      </c>
      <c r="C27" s="205">
        <f>C28+C29</f>
        <v>292.7</v>
      </c>
    </row>
    <row r="28" spans="1:3" ht="15.6" x14ac:dyDescent="0.25">
      <c r="A28" s="411">
        <v>18</v>
      </c>
      <c r="B28" s="203" t="s">
        <v>352</v>
      </c>
      <c r="C28" s="204">
        <v>287.89999999999998</v>
      </c>
    </row>
    <row r="29" spans="1:3" ht="15.6" x14ac:dyDescent="0.25">
      <c r="A29" s="411">
        <v>19</v>
      </c>
      <c r="B29" s="203" t="s">
        <v>353</v>
      </c>
      <c r="C29" s="204">
        <v>4.8</v>
      </c>
    </row>
    <row r="30" spans="1:3" ht="15.6" x14ac:dyDescent="0.25">
      <c r="A30" s="411">
        <v>20</v>
      </c>
      <c r="B30" s="201" t="s">
        <v>354</v>
      </c>
      <c r="C30" s="205">
        <f>C31+C32</f>
        <v>566.4</v>
      </c>
    </row>
    <row r="31" spans="1:3" ht="15.6" x14ac:dyDescent="0.25">
      <c r="A31" s="411">
        <v>21</v>
      </c>
      <c r="B31" s="203" t="s">
        <v>355</v>
      </c>
      <c r="C31" s="204">
        <v>279.39999999999998</v>
      </c>
    </row>
    <row r="32" spans="1:3" ht="15.6" x14ac:dyDescent="0.25">
      <c r="A32" s="411">
        <v>22</v>
      </c>
      <c r="B32" s="203" t="s">
        <v>356</v>
      </c>
      <c r="C32" s="204">
        <v>287</v>
      </c>
    </row>
    <row r="33" spans="1:3" ht="15.6" x14ac:dyDescent="0.25">
      <c r="A33" s="411">
        <v>23</v>
      </c>
      <c r="B33" s="201" t="s">
        <v>427</v>
      </c>
      <c r="C33" s="205">
        <f>C34+C35</f>
        <v>11.064</v>
      </c>
    </row>
    <row r="34" spans="1:3" ht="15.6" x14ac:dyDescent="0.25">
      <c r="A34" s="411">
        <v>24</v>
      </c>
      <c r="B34" s="203" t="s">
        <v>357</v>
      </c>
      <c r="C34" s="204">
        <v>8.3960000000000008</v>
      </c>
    </row>
    <row r="35" spans="1:3" ht="31.2" x14ac:dyDescent="0.25">
      <c r="A35" s="411">
        <v>25</v>
      </c>
      <c r="B35" s="203" t="s">
        <v>476</v>
      </c>
      <c r="C35" s="204">
        <v>2.6680000000000001</v>
      </c>
    </row>
    <row r="36" spans="1:3" ht="15.6" x14ac:dyDescent="0.25">
      <c r="A36" s="411">
        <v>26</v>
      </c>
      <c r="B36" s="201" t="s">
        <v>358</v>
      </c>
      <c r="C36" s="205">
        <f>C37</f>
        <v>9.4</v>
      </c>
    </row>
    <row r="37" spans="1:3" ht="15.6" x14ac:dyDescent="0.25">
      <c r="A37" s="411">
        <v>27</v>
      </c>
      <c r="B37" s="203" t="s">
        <v>359</v>
      </c>
      <c r="C37" s="204">
        <v>9.4</v>
      </c>
    </row>
    <row r="38" spans="1:3" ht="15.6" x14ac:dyDescent="0.25">
      <c r="A38" s="411">
        <v>28</v>
      </c>
      <c r="B38" s="201" t="s">
        <v>360</v>
      </c>
      <c r="C38" s="205">
        <f>C39</f>
        <v>30.2</v>
      </c>
    </row>
    <row r="39" spans="1:3" ht="15.6" x14ac:dyDescent="0.25">
      <c r="A39" s="411">
        <v>29</v>
      </c>
      <c r="B39" s="203" t="s">
        <v>361</v>
      </c>
      <c r="C39" s="204">
        <v>30.2</v>
      </c>
    </row>
    <row r="40" spans="1:3" ht="15.6" x14ac:dyDescent="0.25">
      <c r="A40" s="411">
        <v>30</v>
      </c>
      <c r="B40" s="201" t="s">
        <v>362</v>
      </c>
      <c r="C40" s="205">
        <f>C41</f>
        <v>0.7</v>
      </c>
    </row>
    <row r="41" spans="1:3" ht="15.6" x14ac:dyDescent="0.25">
      <c r="A41" s="411">
        <v>31</v>
      </c>
      <c r="B41" s="203" t="s">
        <v>363</v>
      </c>
      <c r="C41" s="204">
        <v>0.7</v>
      </c>
    </row>
    <row r="42" spans="1:3" ht="15.6" x14ac:dyDescent="0.25">
      <c r="A42" s="411">
        <v>32</v>
      </c>
      <c r="B42" s="201" t="s">
        <v>364</v>
      </c>
      <c r="C42" s="205">
        <f>C43</f>
        <v>9</v>
      </c>
    </row>
    <row r="43" spans="1:3" ht="15.6" x14ac:dyDescent="0.25">
      <c r="A43" s="411">
        <v>33</v>
      </c>
      <c r="B43" s="203" t="s">
        <v>365</v>
      </c>
      <c r="C43" s="204">
        <v>9</v>
      </c>
    </row>
    <row r="44" spans="1:3" ht="32.4" x14ac:dyDescent="0.25">
      <c r="A44" s="411">
        <v>34</v>
      </c>
      <c r="B44" s="419" t="s">
        <v>504</v>
      </c>
      <c r="C44" s="420">
        <f>C11+C15+C19+C27+C30+C36+C38+C40+C42+C33</f>
        <v>5047.963999999999</v>
      </c>
    </row>
    <row r="45" spans="1:3" ht="15.6" x14ac:dyDescent="0.25">
      <c r="A45" s="411">
        <v>35</v>
      </c>
      <c r="B45" s="201" t="s">
        <v>831</v>
      </c>
      <c r="C45" s="420">
        <f>C46+C56+C58+C84+C70+C72+C80</f>
        <v>17991.058759999996</v>
      </c>
    </row>
    <row r="46" spans="1:3" ht="15.6" x14ac:dyDescent="0.25">
      <c r="A46" s="411">
        <v>36</v>
      </c>
      <c r="B46" s="201" t="s">
        <v>366</v>
      </c>
      <c r="C46" s="421">
        <f>C47+C48+C49+C50+C51+C53+C52+C54+C55</f>
        <v>10060.607999999998</v>
      </c>
    </row>
    <row r="47" spans="1:3" ht="15.6" x14ac:dyDescent="0.25">
      <c r="A47" s="411">
        <v>37</v>
      </c>
      <c r="B47" s="203" t="s">
        <v>313</v>
      </c>
      <c r="C47" s="418">
        <v>9682.1</v>
      </c>
    </row>
    <row r="48" spans="1:3" ht="15.6" x14ac:dyDescent="0.25">
      <c r="A48" s="411">
        <v>38</v>
      </c>
      <c r="B48" s="203" t="s">
        <v>367</v>
      </c>
      <c r="C48" s="204"/>
    </row>
    <row r="49" spans="1:3" ht="31.2" x14ac:dyDescent="0.25">
      <c r="A49" s="411">
        <v>39</v>
      </c>
      <c r="B49" s="203" t="s">
        <v>604</v>
      </c>
      <c r="C49" s="204">
        <v>134.9</v>
      </c>
    </row>
    <row r="50" spans="1:3" ht="31.2" x14ac:dyDescent="0.25">
      <c r="A50" s="411">
        <v>40</v>
      </c>
      <c r="B50" s="203" t="s">
        <v>452</v>
      </c>
      <c r="C50" s="204">
        <v>0.8</v>
      </c>
    </row>
    <row r="51" spans="1:3" ht="31.2" x14ac:dyDescent="0.25">
      <c r="A51" s="411">
        <v>41</v>
      </c>
      <c r="B51" s="203" t="s">
        <v>605</v>
      </c>
      <c r="C51" s="204">
        <v>23.286999999999999</v>
      </c>
    </row>
    <row r="52" spans="1:3" ht="15.6" x14ac:dyDescent="0.25">
      <c r="A52" s="411">
        <v>42</v>
      </c>
      <c r="B52" s="203" t="s">
        <v>453</v>
      </c>
      <c r="C52" s="418">
        <v>131</v>
      </c>
    </row>
    <row r="53" spans="1:3" ht="31.2" x14ac:dyDescent="0.25">
      <c r="A53" s="411">
        <v>43</v>
      </c>
      <c r="B53" s="203" t="s">
        <v>606</v>
      </c>
      <c r="C53" s="204">
        <v>52.581000000000003</v>
      </c>
    </row>
    <row r="54" spans="1:3" ht="46.8" x14ac:dyDescent="0.3">
      <c r="A54" s="411">
        <v>44</v>
      </c>
      <c r="B54" s="412" t="s">
        <v>607</v>
      </c>
      <c r="C54" s="408">
        <v>6.3719999999999999</v>
      </c>
    </row>
    <row r="55" spans="1:3" ht="31.2" x14ac:dyDescent="0.3">
      <c r="A55" s="411">
        <v>45</v>
      </c>
      <c r="B55" s="412" t="s">
        <v>538</v>
      </c>
      <c r="C55" s="405">
        <f>24.976+4.592</f>
        <v>29.567999999999998</v>
      </c>
    </row>
    <row r="56" spans="1:3" ht="15.6" x14ac:dyDescent="0.25">
      <c r="A56" s="411">
        <v>46</v>
      </c>
      <c r="B56" s="201" t="s">
        <v>370</v>
      </c>
      <c r="C56" s="205">
        <f>C57</f>
        <v>33.564</v>
      </c>
    </row>
    <row r="57" spans="1:3" ht="15.6" x14ac:dyDescent="0.25">
      <c r="A57" s="411">
        <v>47</v>
      </c>
      <c r="B57" s="203" t="s">
        <v>371</v>
      </c>
      <c r="C57" s="204">
        <v>33.564</v>
      </c>
    </row>
    <row r="58" spans="1:3" ht="15.6" x14ac:dyDescent="0.25">
      <c r="A58" s="411">
        <v>48</v>
      </c>
      <c r="B58" s="201" t="s">
        <v>347</v>
      </c>
      <c r="C58" s="413">
        <f>C59+C60+C61+C62+C63+C64+C65+C66+C67+C68+C69</f>
        <v>2985.0086200000001</v>
      </c>
    </row>
    <row r="59" spans="1:3" ht="31.2" x14ac:dyDescent="0.25">
      <c r="A59" s="411">
        <v>49</v>
      </c>
      <c r="B59" s="203" t="s">
        <v>454</v>
      </c>
      <c r="C59" s="204">
        <v>179.6</v>
      </c>
    </row>
    <row r="60" spans="1:3" ht="15.6" x14ac:dyDescent="0.3">
      <c r="A60" s="411">
        <v>50</v>
      </c>
      <c r="B60" s="412" t="s">
        <v>408</v>
      </c>
      <c r="C60" s="406">
        <f>112.19267-10.2</f>
        <v>101.99267</v>
      </c>
    </row>
    <row r="61" spans="1:3" ht="31.2" x14ac:dyDescent="0.3">
      <c r="A61" s="411">
        <v>51</v>
      </c>
      <c r="B61" s="412" t="s">
        <v>426</v>
      </c>
      <c r="C61" s="406">
        <v>92.33</v>
      </c>
    </row>
    <row r="62" spans="1:3" ht="15.6" x14ac:dyDescent="0.3">
      <c r="A62" s="411">
        <v>52</v>
      </c>
      <c r="B62" s="412" t="s">
        <v>425</v>
      </c>
      <c r="C62" s="406">
        <v>24.678999999999998</v>
      </c>
    </row>
    <row r="63" spans="1:3" ht="31.2" x14ac:dyDescent="0.3">
      <c r="A63" s="411">
        <v>53</v>
      </c>
      <c r="B63" s="412" t="s">
        <v>468</v>
      </c>
      <c r="C63" s="406">
        <v>56.75</v>
      </c>
    </row>
    <row r="64" spans="1:3" ht="31.2" x14ac:dyDescent="0.3">
      <c r="A64" s="411">
        <v>54</v>
      </c>
      <c r="B64" s="412" t="s">
        <v>470</v>
      </c>
      <c r="C64" s="406">
        <v>46.390999999999998</v>
      </c>
    </row>
    <row r="65" spans="1:3" ht="15.6" x14ac:dyDescent="0.3">
      <c r="A65" s="411">
        <v>55</v>
      </c>
      <c r="B65" s="412" t="s">
        <v>472</v>
      </c>
      <c r="C65" s="406">
        <v>18.992999999999999</v>
      </c>
    </row>
    <row r="66" spans="1:3" ht="31.2" x14ac:dyDescent="0.3">
      <c r="A66" s="411">
        <v>56</v>
      </c>
      <c r="B66" s="412" t="s">
        <v>474</v>
      </c>
      <c r="C66" s="408">
        <f>62.77544+5.40431</f>
        <v>68.179749999999999</v>
      </c>
    </row>
    <row r="67" spans="1:3" ht="15.6" x14ac:dyDescent="0.3">
      <c r="A67" s="411">
        <v>57</v>
      </c>
      <c r="B67" s="412" t="s">
        <v>489</v>
      </c>
      <c r="C67" s="409">
        <v>28.693200000000001</v>
      </c>
    </row>
    <row r="68" spans="1:3" ht="31.2" x14ac:dyDescent="0.3">
      <c r="A68" s="411">
        <v>58</v>
      </c>
      <c r="B68" s="412" t="s">
        <v>507</v>
      </c>
      <c r="C68" s="405">
        <f>3163.109+28.641-834.4</f>
        <v>2357.35</v>
      </c>
    </row>
    <row r="69" spans="1:3" ht="46.8" x14ac:dyDescent="0.3">
      <c r="A69" s="411">
        <v>59</v>
      </c>
      <c r="B69" s="412" t="s">
        <v>547</v>
      </c>
      <c r="C69" s="408">
        <f>4.547+5.503</f>
        <v>10.050000000000001</v>
      </c>
    </row>
    <row r="70" spans="1:3" ht="15.6" x14ac:dyDescent="0.3">
      <c r="A70" s="411">
        <v>60</v>
      </c>
      <c r="B70" s="414" t="s">
        <v>477</v>
      </c>
      <c r="C70" s="415">
        <f>C71</f>
        <v>2493.8000000000002</v>
      </c>
    </row>
    <row r="71" spans="1:3" ht="15.6" x14ac:dyDescent="0.3">
      <c r="A71" s="411">
        <v>61</v>
      </c>
      <c r="B71" s="412" t="s">
        <v>475</v>
      </c>
      <c r="C71" s="405">
        <v>2493.8000000000002</v>
      </c>
    </row>
    <row r="72" spans="1:3" ht="15.6" x14ac:dyDescent="0.3">
      <c r="A72" s="411">
        <v>62</v>
      </c>
      <c r="B72" s="414" t="s">
        <v>427</v>
      </c>
      <c r="C72" s="198">
        <f>SUM(C73:C79)</f>
        <v>134.04037</v>
      </c>
    </row>
    <row r="73" spans="1:3" ht="31.2" x14ac:dyDescent="0.3">
      <c r="A73" s="411">
        <v>63</v>
      </c>
      <c r="B73" s="412" t="s">
        <v>539</v>
      </c>
      <c r="C73" s="408">
        <v>14.891719999999999</v>
      </c>
    </row>
    <row r="74" spans="1:3" ht="46.8" x14ac:dyDescent="0.3">
      <c r="A74" s="411">
        <v>64</v>
      </c>
      <c r="B74" s="412" t="s">
        <v>535</v>
      </c>
      <c r="C74" s="408">
        <v>59.293869999999998</v>
      </c>
    </row>
    <row r="75" spans="1:3" ht="46.8" x14ac:dyDescent="0.3">
      <c r="A75" s="411">
        <v>65</v>
      </c>
      <c r="B75" s="412" t="s">
        <v>579</v>
      </c>
      <c r="C75" s="408">
        <v>0.39688000000000001</v>
      </c>
    </row>
    <row r="76" spans="1:3" ht="31.2" x14ac:dyDescent="0.3">
      <c r="A76" s="411">
        <v>66</v>
      </c>
      <c r="B76" s="412" t="s">
        <v>591</v>
      </c>
      <c r="C76" s="408">
        <f>1.116+6.5565</f>
        <v>7.6724999999999994</v>
      </c>
    </row>
    <row r="77" spans="1:3" ht="31.2" x14ac:dyDescent="0.3">
      <c r="A77" s="411">
        <v>67</v>
      </c>
      <c r="B77" s="412" t="s">
        <v>592</v>
      </c>
      <c r="C77" s="408">
        <v>16.495069999999998</v>
      </c>
    </row>
    <row r="78" spans="1:3" ht="31.2" x14ac:dyDescent="0.3">
      <c r="A78" s="411">
        <v>68</v>
      </c>
      <c r="B78" s="412" t="s">
        <v>603</v>
      </c>
      <c r="C78" s="408">
        <v>31.616</v>
      </c>
    </row>
    <row r="79" spans="1:3" ht="31.2" x14ac:dyDescent="0.3">
      <c r="A79" s="411">
        <v>69</v>
      </c>
      <c r="B79" s="412" t="s">
        <v>673</v>
      </c>
      <c r="C79" s="408">
        <v>3.6743299999999999</v>
      </c>
    </row>
    <row r="80" spans="1:3" ht="15.6" x14ac:dyDescent="0.3">
      <c r="A80" s="411">
        <v>70</v>
      </c>
      <c r="B80" s="414" t="s">
        <v>527</v>
      </c>
      <c r="C80" s="416">
        <f>C81+C82+C83</f>
        <v>31.037770000000002</v>
      </c>
    </row>
    <row r="81" spans="1:3" ht="46.8" x14ac:dyDescent="0.3">
      <c r="A81" s="411">
        <v>71</v>
      </c>
      <c r="B81" s="412" t="s">
        <v>526</v>
      </c>
      <c r="C81" s="408">
        <f>16.863+5.011</f>
        <v>21.873999999999999</v>
      </c>
    </row>
    <row r="82" spans="1:3" ht="15.6" x14ac:dyDescent="0.3">
      <c r="A82" s="411">
        <v>72</v>
      </c>
      <c r="B82" s="412" t="s">
        <v>542</v>
      </c>
      <c r="C82" s="408">
        <v>5.9</v>
      </c>
    </row>
    <row r="83" spans="1:3" ht="15.6" x14ac:dyDescent="0.3">
      <c r="A83" s="411">
        <v>73</v>
      </c>
      <c r="B83" s="412" t="s">
        <v>825</v>
      </c>
      <c r="C83" s="408">
        <v>3.2637700000000001</v>
      </c>
    </row>
    <row r="84" spans="1:3" ht="31.2" x14ac:dyDescent="0.25">
      <c r="A84" s="411">
        <v>74</v>
      </c>
      <c r="B84" s="201" t="s">
        <v>528</v>
      </c>
      <c r="C84" s="417">
        <f>C85</f>
        <v>2253</v>
      </c>
    </row>
    <row r="85" spans="1:3" ht="15.6" x14ac:dyDescent="0.25">
      <c r="A85" s="411">
        <v>75</v>
      </c>
      <c r="B85" s="203" t="s">
        <v>447</v>
      </c>
      <c r="C85" s="418">
        <f>1587+666</f>
        <v>2253</v>
      </c>
    </row>
    <row r="86" spans="1:3" ht="15.6" x14ac:dyDescent="0.3">
      <c r="A86" s="410">
        <v>76</v>
      </c>
      <c r="B86" s="197" t="s">
        <v>505</v>
      </c>
      <c r="C86" s="198">
        <f>C44+C45</f>
        <v>23039.022759999996</v>
      </c>
    </row>
  </sheetData>
  <mergeCells count="4">
    <mergeCell ref="B4:C4"/>
    <mergeCell ref="B5:C5"/>
    <mergeCell ref="B3:C3"/>
    <mergeCell ref="B6:C6"/>
  </mergeCells>
  <phoneticPr fontId="11" type="noConversion"/>
  <pageMargins left="0.74803149606299213" right="0.74803149606299213" top="0.98425196850393704" bottom="0.98425196850393704" header="0.51181102362204722" footer="0.51181102362204722"/>
  <pageSetup paperSize="9" scale="9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G66"/>
  <sheetViews>
    <sheetView topLeftCell="A21" workbookViewId="0">
      <selection activeCell="L48" sqref="L48"/>
    </sheetView>
  </sheetViews>
  <sheetFormatPr defaultColWidth="9.109375" defaultRowHeight="13.2" x14ac:dyDescent="0.25"/>
  <cols>
    <col min="1" max="1" width="4" style="169" customWidth="1"/>
    <col min="2" max="2" width="40.109375" style="169" customWidth="1"/>
    <col min="3" max="3" width="13" style="169" customWidth="1"/>
    <col min="4" max="4" width="12" style="169" customWidth="1"/>
    <col min="5" max="5" width="11.109375" style="169" customWidth="1"/>
    <col min="6" max="6" width="11.6640625" style="169" customWidth="1"/>
    <col min="7" max="16384" width="9.109375" style="169"/>
  </cols>
  <sheetData>
    <row r="3" spans="1:7" ht="15.6" x14ac:dyDescent="0.3">
      <c r="C3" s="180" t="s">
        <v>548</v>
      </c>
      <c r="D3" s="188"/>
    </row>
    <row r="4" spans="1:7" ht="15.6" x14ac:dyDescent="0.3">
      <c r="C4" s="180" t="s">
        <v>549</v>
      </c>
      <c r="D4" s="188"/>
    </row>
    <row r="5" spans="1:7" ht="15.6" x14ac:dyDescent="0.3">
      <c r="C5" s="180" t="s">
        <v>843</v>
      </c>
      <c r="D5" s="188"/>
    </row>
    <row r="6" spans="1:7" ht="15.6" x14ac:dyDescent="0.3">
      <c r="C6" s="1" t="s">
        <v>571</v>
      </c>
      <c r="D6" s="1"/>
      <c r="E6" s="1"/>
      <c r="F6" s="1"/>
    </row>
    <row r="7" spans="1:7" ht="15.6" x14ac:dyDescent="0.3">
      <c r="C7" s="1" t="s">
        <v>842</v>
      </c>
      <c r="D7" s="1"/>
      <c r="E7" s="1"/>
      <c r="F7" s="1"/>
    </row>
    <row r="8" spans="1:7" ht="15.6" x14ac:dyDescent="0.3">
      <c r="C8" s="1030" t="s">
        <v>844</v>
      </c>
      <c r="D8" s="1031"/>
      <c r="E8" s="1"/>
      <c r="F8" s="1"/>
    </row>
    <row r="10" spans="1:7" x14ac:dyDescent="0.25">
      <c r="A10" s="189" t="s">
        <v>550</v>
      </c>
      <c r="B10" s="293"/>
      <c r="C10" s="6"/>
      <c r="D10" s="6"/>
      <c r="E10" s="6"/>
    </row>
    <row r="11" spans="1:7" x14ac:dyDescent="0.25">
      <c r="A11" s="189" t="s">
        <v>551</v>
      </c>
      <c r="B11" s="293"/>
      <c r="C11" s="6"/>
      <c r="D11" s="6"/>
      <c r="E11" s="6"/>
    </row>
    <row r="12" spans="1:7" x14ac:dyDescent="0.25">
      <c r="E12" s="169" t="s">
        <v>503</v>
      </c>
    </row>
    <row r="13" spans="1:7" ht="13.8" thickBot="1" x14ac:dyDescent="0.3"/>
    <row r="14" spans="1:7" ht="11.25" customHeight="1" x14ac:dyDescent="0.25">
      <c r="A14" s="1019" t="s">
        <v>552</v>
      </c>
      <c r="B14" s="1022" t="s">
        <v>553</v>
      </c>
      <c r="C14" s="353" t="s">
        <v>554</v>
      </c>
      <c r="D14" s="353"/>
      <c r="E14" s="353"/>
      <c r="F14" s="354"/>
      <c r="G14" s="355"/>
    </row>
    <row r="15" spans="1:7" x14ac:dyDescent="0.25">
      <c r="A15" s="1020"/>
      <c r="B15" s="1023"/>
      <c r="C15" s="1025" t="s">
        <v>43</v>
      </c>
      <c r="D15" s="1027" t="s">
        <v>555</v>
      </c>
      <c r="E15" s="1028"/>
      <c r="F15" s="1029"/>
      <c r="G15" s="355"/>
    </row>
    <row r="16" spans="1:7" ht="40.200000000000003" thickBot="1" x14ac:dyDescent="0.3">
      <c r="A16" s="1021"/>
      <c r="B16" s="1024"/>
      <c r="C16" s="1026"/>
      <c r="D16" s="356" t="s">
        <v>556</v>
      </c>
      <c r="E16" s="357" t="s">
        <v>557</v>
      </c>
      <c r="F16" s="358" t="s">
        <v>558</v>
      </c>
      <c r="G16" s="355"/>
    </row>
    <row r="17" spans="1:7" x14ac:dyDescent="0.25">
      <c r="A17" s="359">
        <v>1</v>
      </c>
      <c r="B17" s="360" t="s">
        <v>559</v>
      </c>
      <c r="C17" s="422">
        <f>D17+E17+F17</f>
        <v>36</v>
      </c>
      <c r="D17" s="423"/>
      <c r="E17" s="423">
        <f>50-14</f>
        <v>36</v>
      </c>
      <c r="F17" s="424"/>
      <c r="G17" s="355"/>
    </row>
    <row r="18" spans="1:7" x14ac:dyDescent="0.25">
      <c r="A18" s="361">
        <v>2</v>
      </c>
      <c r="B18" s="362" t="s">
        <v>3</v>
      </c>
      <c r="C18" s="422">
        <f t="shared" ref="C18:C62" si="0">D18+E18+F18</f>
        <v>60.8</v>
      </c>
      <c r="D18" s="425"/>
      <c r="E18" s="425">
        <v>3</v>
      </c>
      <c r="F18" s="426">
        <v>57.8</v>
      </c>
      <c r="G18" s="363"/>
    </row>
    <row r="19" spans="1:7" x14ac:dyDescent="0.25">
      <c r="A19" s="361">
        <v>3</v>
      </c>
      <c r="B19" s="362" t="s">
        <v>4</v>
      </c>
      <c r="C19" s="422">
        <f t="shared" si="0"/>
        <v>60</v>
      </c>
      <c r="D19" s="425"/>
      <c r="E19" s="425"/>
      <c r="F19" s="426">
        <v>60</v>
      </c>
      <c r="G19" s="364"/>
    </row>
    <row r="20" spans="1:7" x14ac:dyDescent="0.25">
      <c r="A20" s="361">
        <v>4</v>
      </c>
      <c r="B20" s="362" t="s">
        <v>560</v>
      </c>
      <c r="C20" s="422">
        <f t="shared" si="0"/>
        <v>3.8000000000000003</v>
      </c>
      <c r="D20" s="425"/>
      <c r="E20" s="425">
        <v>0.35</v>
      </c>
      <c r="F20" s="426">
        <v>3.45</v>
      </c>
      <c r="G20" s="355"/>
    </row>
    <row r="21" spans="1:7" x14ac:dyDescent="0.25">
      <c r="A21" s="361">
        <v>5</v>
      </c>
      <c r="B21" s="362" t="s">
        <v>5</v>
      </c>
      <c r="C21" s="422">
        <f t="shared" si="0"/>
        <v>21</v>
      </c>
      <c r="D21" s="425">
        <v>18</v>
      </c>
      <c r="E21" s="425"/>
      <c r="F21" s="426">
        <v>3</v>
      </c>
      <c r="G21" s="355"/>
    </row>
    <row r="22" spans="1:7" x14ac:dyDescent="0.25">
      <c r="A22" s="361">
        <v>6</v>
      </c>
      <c r="B22" s="362" t="s">
        <v>27</v>
      </c>
      <c r="C22" s="422">
        <f t="shared" si="0"/>
        <v>170</v>
      </c>
      <c r="D22" s="425">
        <f>157+10</f>
        <v>167</v>
      </c>
      <c r="E22" s="425"/>
      <c r="F22" s="426">
        <v>3</v>
      </c>
      <c r="G22" s="355"/>
    </row>
    <row r="23" spans="1:7" x14ac:dyDescent="0.25">
      <c r="A23" s="361">
        <v>7</v>
      </c>
      <c r="B23" s="362" t="s">
        <v>6</v>
      </c>
      <c r="C23" s="422">
        <f t="shared" si="0"/>
        <v>343.90000000000003</v>
      </c>
      <c r="D23" s="427"/>
      <c r="E23" s="427"/>
      <c r="F23" s="428">
        <f>340.57515+3.32485</f>
        <v>343.90000000000003</v>
      </c>
      <c r="G23" s="355"/>
    </row>
    <row r="24" spans="1:7" x14ac:dyDescent="0.25">
      <c r="A24" s="361">
        <v>8</v>
      </c>
      <c r="B24" s="362" t="s">
        <v>7</v>
      </c>
      <c r="C24" s="422">
        <f t="shared" si="0"/>
        <v>0.7</v>
      </c>
      <c r="D24" s="425"/>
      <c r="E24" s="425">
        <v>0.4</v>
      </c>
      <c r="F24" s="426">
        <v>0.3</v>
      </c>
      <c r="G24" s="355"/>
    </row>
    <row r="25" spans="1:7" x14ac:dyDescent="0.25">
      <c r="A25" s="361">
        <v>9</v>
      </c>
      <c r="B25" s="362" t="s">
        <v>8</v>
      </c>
      <c r="C25" s="422">
        <f t="shared" si="0"/>
        <v>3.5</v>
      </c>
      <c r="D25" s="425"/>
      <c r="E25" s="425">
        <v>1.3</v>
      </c>
      <c r="F25" s="426">
        <v>2.2000000000000002</v>
      </c>
      <c r="G25" s="355"/>
    </row>
    <row r="26" spans="1:7" x14ac:dyDescent="0.25">
      <c r="A26" s="361">
        <v>10</v>
      </c>
      <c r="B26" s="362" t="s">
        <v>9</v>
      </c>
      <c r="C26" s="422">
        <f t="shared" si="0"/>
        <v>4</v>
      </c>
      <c r="D26" s="425"/>
      <c r="E26" s="425">
        <v>3</v>
      </c>
      <c r="F26" s="426">
        <v>1</v>
      </c>
      <c r="G26" s="355"/>
    </row>
    <row r="27" spans="1:7" x14ac:dyDescent="0.25">
      <c r="A27" s="361">
        <v>11</v>
      </c>
      <c r="B27" s="362" t="s">
        <v>11</v>
      </c>
      <c r="C27" s="422">
        <f t="shared" si="0"/>
        <v>3.12</v>
      </c>
      <c r="D27" s="425"/>
      <c r="E27" s="425">
        <v>3.12</v>
      </c>
      <c r="F27" s="426"/>
      <c r="G27" s="355"/>
    </row>
    <row r="28" spans="1:7" x14ac:dyDescent="0.25">
      <c r="A28" s="361">
        <v>12</v>
      </c>
      <c r="B28" s="362" t="s">
        <v>12</v>
      </c>
      <c r="C28" s="422">
        <f t="shared" si="0"/>
        <v>0.6</v>
      </c>
      <c r="D28" s="425"/>
      <c r="E28" s="425">
        <v>0.6</v>
      </c>
      <c r="F28" s="426"/>
      <c r="G28" s="355"/>
    </row>
    <row r="29" spans="1:7" x14ac:dyDescent="0.25">
      <c r="A29" s="361">
        <v>13</v>
      </c>
      <c r="B29" s="362" t="s">
        <v>13</v>
      </c>
      <c r="C29" s="422">
        <f t="shared" si="0"/>
        <v>0.5</v>
      </c>
      <c r="D29" s="425"/>
      <c r="E29" s="425">
        <v>0.5</v>
      </c>
      <c r="F29" s="426"/>
      <c r="G29" s="355"/>
    </row>
    <row r="30" spans="1:7" x14ac:dyDescent="0.25">
      <c r="A30" s="361">
        <v>14</v>
      </c>
      <c r="B30" s="362" t="s">
        <v>14</v>
      </c>
      <c r="C30" s="422">
        <f t="shared" si="0"/>
        <v>0.55200000000000005</v>
      </c>
      <c r="D30" s="425"/>
      <c r="E30" s="425">
        <v>0.55200000000000005</v>
      </c>
      <c r="F30" s="426"/>
      <c r="G30" s="355"/>
    </row>
    <row r="31" spans="1:7" x14ac:dyDescent="0.25">
      <c r="A31" s="361">
        <v>15</v>
      </c>
      <c r="B31" s="362" t="s">
        <v>15</v>
      </c>
      <c r="C31" s="422">
        <f t="shared" si="0"/>
        <v>0.3</v>
      </c>
      <c r="D31" s="425"/>
      <c r="E31" s="425">
        <v>0.3</v>
      </c>
      <c r="F31" s="426"/>
      <c r="G31" s="355"/>
    </row>
    <row r="32" spans="1:7" x14ac:dyDescent="0.25">
      <c r="A32" s="361">
        <v>16</v>
      </c>
      <c r="B32" s="362" t="s">
        <v>16</v>
      </c>
      <c r="C32" s="422">
        <f t="shared" si="0"/>
        <v>1.968</v>
      </c>
      <c r="D32" s="425"/>
      <c r="E32" s="425">
        <v>1.968</v>
      </c>
      <c r="F32" s="426"/>
      <c r="G32" s="355"/>
    </row>
    <row r="33" spans="1:7" x14ac:dyDescent="0.25">
      <c r="A33" s="361">
        <v>17</v>
      </c>
      <c r="B33" s="362" t="s">
        <v>224</v>
      </c>
      <c r="C33" s="422">
        <f t="shared" si="0"/>
        <v>299.99999999999994</v>
      </c>
      <c r="D33" s="425"/>
      <c r="E33" s="425">
        <v>5.484</v>
      </c>
      <c r="F33" s="426">
        <v>294.51599999999996</v>
      </c>
      <c r="G33" s="363"/>
    </row>
    <row r="34" spans="1:7" x14ac:dyDescent="0.25">
      <c r="A34" s="361">
        <v>18</v>
      </c>
      <c r="B34" s="362" t="s">
        <v>248</v>
      </c>
      <c r="C34" s="422">
        <f t="shared" si="0"/>
        <v>92.745000000000005</v>
      </c>
      <c r="D34" s="425"/>
      <c r="E34" s="425"/>
      <c r="F34" s="426">
        <v>92.745000000000005</v>
      </c>
      <c r="G34" s="355"/>
    </row>
    <row r="35" spans="1:7" x14ac:dyDescent="0.25">
      <c r="A35" s="361">
        <v>19</v>
      </c>
      <c r="B35" s="362" t="s">
        <v>267</v>
      </c>
      <c r="C35" s="422">
        <f t="shared" si="0"/>
        <v>33.5</v>
      </c>
      <c r="D35" s="425">
        <v>30.8</v>
      </c>
      <c r="E35" s="425"/>
      <c r="F35" s="426">
        <v>2.7</v>
      </c>
      <c r="G35" s="363"/>
    </row>
    <row r="36" spans="1:7" x14ac:dyDescent="0.25">
      <c r="A36" s="361">
        <v>20</v>
      </c>
      <c r="B36" s="362" t="s">
        <v>268</v>
      </c>
      <c r="C36" s="422">
        <f t="shared" si="0"/>
        <v>62.027999999999999</v>
      </c>
      <c r="D36" s="425">
        <v>61.527999999999999</v>
      </c>
      <c r="E36" s="425"/>
      <c r="F36" s="426">
        <v>0.5</v>
      </c>
      <c r="G36" s="363"/>
    </row>
    <row r="37" spans="1:7" x14ac:dyDescent="0.25">
      <c r="A37" s="361">
        <v>21</v>
      </c>
      <c r="B37" s="362" t="s">
        <v>269</v>
      </c>
      <c r="C37" s="422">
        <f t="shared" si="0"/>
        <v>16.520000000000003</v>
      </c>
      <c r="D37" s="425">
        <f>15.17+1</f>
        <v>16.170000000000002</v>
      </c>
      <c r="E37" s="425"/>
      <c r="F37" s="426">
        <v>0.35</v>
      </c>
      <c r="G37" s="355"/>
    </row>
    <row r="38" spans="1:7" x14ac:dyDescent="0.25">
      <c r="A38" s="361">
        <v>22</v>
      </c>
      <c r="B38" s="362" t="s">
        <v>270</v>
      </c>
      <c r="C38" s="422">
        <f t="shared" si="0"/>
        <v>48</v>
      </c>
      <c r="D38" s="425">
        <v>36</v>
      </c>
      <c r="E38" s="425"/>
      <c r="F38" s="426">
        <v>12</v>
      </c>
      <c r="G38" s="355"/>
    </row>
    <row r="39" spans="1:7" x14ac:dyDescent="0.25">
      <c r="A39" s="361">
        <v>23</v>
      </c>
      <c r="B39" s="362" t="s">
        <v>271</v>
      </c>
      <c r="C39" s="422">
        <f t="shared" si="0"/>
        <v>13.200000000000001</v>
      </c>
      <c r="D39" s="425">
        <v>9.8000000000000007</v>
      </c>
      <c r="E39" s="425"/>
      <c r="F39" s="426">
        <v>3.4</v>
      </c>
      <c r="G39" s="355"/>
    </row>
    <row r="40" spans="1:7" x14ac:dyDescent="0.25">
      <c r="A40" s="361">
        <v>24</v>
      </c>
      <c r="B40" s="362" t="s">
        <v>272</v>
      </c>
      <c r="C40" s="422">
        <f t="shared" si="0"/>
        <v>63.6</v>
      </c>
      <c r="D40" s="425">
        <v>63.6</v>
      </c>
      <c r="E40" s="425"/>
      <c r="F40" s="426"/>
      <c r="G40" s="355"/>
    </row>
    <row r="41" spans="1:7" x14ac:dyDescent="0.25">
      <c r="A41" s="361">
        <v>25</v>
      </c>
      <c r="B41" s="362" t="s">
        <v>18</v>
      </c>
      <c r="C41" s="422">
        <f t="shared" si="0"/>
        <v>23.6</v>
      </c>
      <c r="D41" s="425"/>
      <c r="E41" s="425">
        <v>2.2999999999999998</v>
      </c>
      <c r="F41" s="426">
        <f>19.1+2.2</f>
        <v>21.3</v>
      </c>
      <c r="G41" s="363"/>
    </row>
    <row r="42" spans="1:7" ht="26.4" x14ac:dyDescent="0.25">
      <c r="A42" s="361">
        <v>26</v>
      </c>
      <c r="B42" s="365" t="s">
        <v>561</v>
      </c>
      <c r="C42" s="422">
        <f t="shared" si="0"/>
        <v>8.4</v>
      </c>
      <c r="D42" s="425">
        <v>8.4</v>
      </c>
      <c r="E42" s="425"/>
      <c r="F42" s="426"/>
      <c r="G42" s="366"/>
    </row>
    <row r="43" spans="1:7" x14ac:dyDescent="0.25">
      <c r="A43" s="361">
        <v>27</v>
      </c>
      <c r="B43" s="362" t="s">
        <v>277</v>
      </c>
      <c r="C43" s="422">
        <f t="shared" si="0"/>
        <v>79</v>
      </c>
      <c r="D43" s="425"/>
      <c r="E43" s="425">
        <v>1</v>
      </c>
      <c r="F43" s="426">
        <v>78</v>
      </c>
      <c r="G43" s="366"/>
    </row>
    <row r="44" spans="1:7" x14ac:dyDescent="0.25">
      <c r="A44" s="361">
        <v>28</v>
      </c>
      <c r="B44" s="362" t="s">
        <v>98</v>
      </c>
      <c r="C44" s="422">
        <f t="shared" si="0"/>
        <v>43</v>
      </c>
      <c r="D44" s="425"/>
      <c r="E44" s="425"/>
      <c r="F44" s="426">
        <f>39+4</f>
        <v>43</v>
      </c>
      <c r="G44" s="366"/>
    </row>
    <row r="45" spans="1:7" x14ac:dyDescent="0.25">
      <c r="A45" s="361">
        <v>29</v>
      </c>
      <c r="B45" s="362" t="s">
        <v>20</v>
      </c>
      <c r="C45" s="422">
        <f t="shared" si="0"/>
        <v>29</v>
      </c>
      <c r="D45" s="425"/>
      <c r="E45" s="425"/>
      <c r="F45" s="426">
        <v>29</v>
      </c>
      <c r="G45" s="366"/>
    </row>
    <row r="46" spans="1:7" x14ac:dyDescent="0.25">
      <c r="A46" s="361">
        <v>30</v>
      </c>
      <c r="B46" s="362" t="s">
        <v>562</v>
      </c>
      <c r="C46" s="422">
        <f t="shared" si="0"/>
        <v>9.5</v>
      </c>
      <c r="D46" s="425">
        <v>9.5</v>
      </c>
      <c r="E46" s="425"/>
      <c r="F46" s="426"/>
      <c r="G46" s="366"/>
    </row>
    <row r="47" spans="1:7" x14ac:dyDescent="0.25">
      <c r="A47" s="361">
        <v>31</v>
      </c>
      <c r="B47" s="362" t="s">
        <v>279</v>
      </c>
      <c r="C47" s="422">
        <f t="shared" si="0"/>
        <v>19.3</v>
      </c>
      <c r="D47" s="425"/>
      <c r="E47" s="425"/>
      <c r="F47" s="426">
        <v>19.3</v>
      </c>
      <c r="G47" s="366"/>
    </row>
    <row r="48" spans="1:7" ht="26.4" x14ac:dyDescent="0.25">
      <c r="A48" s="361">
        <v>32</v>
      </c>
      <c r="B48" s="365" t="s">
        <v>280</v>
      </c>
      <c r="C48" s="422">
        <f t="shared" si="0"/>
        <v>4.5999999999999996</v>
      </c>
      <c r="D48" s="425"/>
      <c r="E48" s="425"/>
      <c r="F48" s="426">
        <v>4.5999999999999996</v>
      </c>
      <c r="G48" s="366"/>
    </row>
    <row r="49" spans="1:7" x14ac:dyDescent="0.25">
      <c r="A49" s="361">
        <v>33</v>
      </c>
      <c r="B49" s="362" t="s">
        <v>563</v>
      </c>
      <c r="C49" s="422">
        <f t="shared" si="0"/>
        <v>12.7</v>
      </c>
      <c r="D49" s="425">
        <v>12.7</v>
      </c>
      <c r="E49" s="425"/>
      <c r="F49" s="426"/>
      <c r="G49" s="366"/>
    </row>
    <row r="50" spans="1:7" x14ac:dyDescent="0.25">
      <c r="A50" s="361">
        <v>34</v>
      </c>
      <c r="B50" s="362" t="s">
        <v>564</v>
      </c>
      <c r="C50" s="422">
        <f t="shared" si="0"/>
        <v>4.3</v>
      </c>
      <c r="D50" s="425">
        <v>4.3</v>
      </c>
      <c r="E50" s="425"/>
      <c r="F50" s="426"/>
      <c r="G50" s="366"/>
    </row>
    <row r="51" spans="1:7" x14ac:dyDescent="0.25">
      <c r="A51" s="361">
        <v>35</v>
      </c>
      <c r="B51" s="362" t="s">
        <v>22</v>
      </c>
      <c r="C51" s="422">
        <f t="shared" si="0"/>
        <v>22.5</v>
      </c>
      <c r="D51" s="425"/>
      <c r="E51" s="425"/>
      <c r="F51" s="426">
        <v>22.5</v>
      </c>
      <c r="G51" s="367"/>
    </row>
    <row r="52" spans="1:7" x14ac:dyDescent="0.25">
      <c r="A52" s="361">
        <v>36</v>
      </c>
      <c r="B52" s="362" t="s">
        <v>540</v>
      </c>
      <c r="C52" s="422">
        <f t="shared" si="0"/>
        <v>13.42</v>
      </c>
      <c r="D52" s="425">
        <f>11.32+0.6</f>
        <v>11.92</v>
      </c>
      <c r="E52" s="425"/>
      <c r="F52" s="426">
        <v>1.5</v>
      </c>
      <c r="G52" s="355"/>
    </row>
    <row r="53" spans="1:7" x14ac:dyDescent="0.25">
      <c r="A53" s="361">
        <v>37</v>
      </c>
      <c r="B53" s="362" t="s">
        <v>565</v>
      </c>
      <c r="C53" s="422">
        <f t="shared" si="0"/>
        <v>3.2</v>
      </c>
      <c r="D53" s="425">
        <v>3.2</v>
      </c>
      <c r="E53" s="425"/>
      <c r="F53" s="426"/>
      <c r="G53" s="355"/>
    </row>
    <row r="54" spans="1:7" x14ac:dyDescent="0.25">
      <c r="A54" s="361">
        <v>38</v>
      </c>
      <c r="B54" s="362" t="s">
        <v>566</v>
      </c>
      <c r="C54" s="422">
        <f t="shared" si="0"/>
        <v>19</v>
      </c>
      <c r="D54" s="425">
        <v>0.9</v>
      </c>
      <c r="E54" s="425"/>
      <c r="F54" s="426">
        <v>18.100000000000001</v>
      </c>
      <c r="G54" s="355"/>
    </row>
    <row r="55" spans="1:7" x14ac:dyDescent="0.25">
      <c r="A55" s="361">
        <v>39</v>
      </c>
      <c r="B55" s="362" t="s">
        <v>34</v>
      </c>
      <c r="C55" s="422">
        <f t="shared" si="0"/>
        <v>7.1</v>
      </c>
      <c r="D55" s="425"/>
      <c r="E55" s="425"/>
      <c r="F55" s="426">
        <v>7.1</v>
      </c>
      <c r="G55" s="355"/>
    </row>
    <row r="56" spans="1:7" x14ac:dyDescent="0.25">
      <c r="A56" s="361">
        <v>40</v>
      </c>
      <c r="B56" s="362" t="s">
        <v>104</v>
      </c>
      <c r="C56" s="422">
        <f t="shared" si="0"/>
        <v>35.299999999999997</v>
      </c>
      <c r="D56" s="425">
        <v>30</v>
      </c>
      <c r="E56" s="425"/>
      <c r="F56" s="426">
        <v>5.3</v>
      </c>
      <c r="G56" s="363"/>
    </row>
    <row r="57" spans="1:7" x14ac:dyDescent="0.25">
      <c r="A57" s="361">
        <v>41</v>
      </c>
      <c r="B57" s="362" t="s">
        <v>247</v>
      </c>
      <c r="C57" s="422">
        <f t="shared" si="0"/>
        <v>17.149999999999999</v>
      </c>
      <c r="D57" s="425">
        <v>13.7</v>
      </c>
      <c r="E57" s="425"/>
      <c r="F57" s="426">
        <v>3.45</v>
      </c>
      <c r="G57" s="363"/>
    </row>
    <row r="58" spans="1:7" x14ac:dyDescent="0.25">
      <c r="A58" s="361">
        <v>42</v>
      </c>
      <c r="B58" s="362" t="s">
        <v>246</v>
      </c>
      <c r="C58" s="422">
        <f t="shared" si="0"/>
        <v>14.3</v>
      </c>
      <c r="D58" s="425">
        <v>6.3</v>
      </c>
      <c r="E58" s="425"/>
      <c r="F58" s="426">
        <v>8</v>
      </c>
      <c r="G58" s="355"/>
    </row>
    <row r="59" spans="1:7" x14ac:dyDescent="0.25">
      <c r="A59" s="361">
        <v>43</v>
      </c>
      <c r="B59" s="362" t="s">
        <v>23</v>
      </c>
      <c r="C59" s="422">
        <f t="shared" si="0"/>
        <v>23.608000000000001</v>
      </c>
      <c r="D59" s="425"/>
      <c r="E59" s="425"/>
      <c r="F59" s="426">
        <v>23.608000000000001</v>
      </c>
      <c r="G59" s="355"/>
    </row>
    <row r="60" spans="1:7" x14ac:dyDescent="0.25">
      <c r="A60" s="361">
        <v>44</v>
      </c>
      <c r="B60" s="362" t="s">
        <v>24</v>
      </c>
      <c r="C60" s="422">
        <f t="shared" si="0"/>
        <v>0.39200000000000002</v>
      </c>
      <c r="D60" s="425"/>
      <c r="E60" s="425"/>
      <c r="F60" s="426">
        <v>0.39200000000000002</v>
      </c>
      <c r="G60" s="355"/>
    </row>
    <row r="61" spans="1:7" x14ac:dyDescent="0.25">
      <c r="A61" s="361">
        <v>45</v>
      </c>
      <c r="B61" s="362" t="s">
        <v>567</v>
      </c>
      <c r="C61" s="422">
        <f t="shared" si="0"/>
        <v>24.22</v>
      </c>
      <c r="D61" s="425">
        <v>20.22</v>
      </c>
      <c r="E61" s="425"/>
      <c r="F61" s="426">
        <v>4</v>
      </c>
      <c r="G61" s="355"/>
    </row>
    <row r="62" spans="1:7" ht="27" thickBot="1" x14ac:dyDescent="0.3">
      <c r="A62" s="368">
        <v>46</v>
      </c>
      <c r="B62" s="369" t="s">
        <v>568</v>
      </c>
      <c r="C62" s="422">
        <f t="shared" si="0"/>
        <v>7.5</v>
      </c>
      <c r="D62" s="984">
        <f>5.3+1.5</f>
        <v>6.8</v>
      </c>
      <c r="E62" s="429"/>
      <c r="F62" s="430">
        <v>0.7</v>
      </c>
      <c r="G62" s="355"/>
    </row>
    <row r="63" spans="1:7" ht="13.8" thickBot="1" x14ac:dyDescent="0.3">
      <c r="A63" s="370">
        <v>47</v>
      </c>
      <c r="B63" s="371" t="s">
        <v>39</v>
      </c>
      <c r="C63" s="372">
        <f>SUM(C17:C62)</f>
        <v>1761.423</v>
      </c>
      <c r="D63" s="372">
        <f t="shared" ref="D63:F63" si="1">SUM(D17:D62)</f>
        <v>530.83799999999997</v>
      </c>
      <c r="E63" s="372">
        <f t="shared" si="1"/>
        <v>59.873999999999988</v>
      </c>
      <c r="F63" s="372">
        <f t="shared" si="1"/>
        <v>1170.7109999999998</v>
      </c>
      <c r="G63" s="372"/>
    </row>
    <row r="64" spans="1:7" x14ac:dyDescent="0.25">
      <c r="A64"/>
      <c r="B64"/>
      <c r="C64"/>
      <c r="D64" s="172"/>
      <c r="E64"/>
      <c r="F64"/>
      <c r="G64"/>
    </row>
    <row r="65" spans="1:7" x14ac:dyDescent="0.25">
      <c r="A65"/>
      <c r="B65"/>
      <c r="C65"/>
      <c r="D65"/>
      <c r="E65"/>
      <c r="F65"/>
      <c r="G65"/>
    </row>
    <row r="66" spans="1:7" x14ac:dyDescent="0.25">
      <c r="A66"/>
      <c r="B66"/>
      <c r="C66"/>
      <c r="D66"/>
      <c r="E66"/>
      <c r="F66"/>
      <c r="G66"/>
    </row>
  </sheetData>
  <mergeCells count="5">
    <mergeCell ref="A14:A16"/>
    <mergeCell ref="B14:B16"/>
    <mergeCell ref="C15:C16"/>
    <mergeCell ref="D15:F15"/>
    <mergeCell ref="C8:D8"/>
  </mergeCells>
  <pageMargins left="0.70866141732283472" right="0.70866141732283472" top="0.74803149606299213" bottom="0.74803149606299213" header="0.31496062992125984" footer="0.31496062992125984"/>
  <pageSetup paperSize="9" scale="8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V214"/>
  <sheetViews>
    <sheetView topLeftCell="A16" zoomScaleNormal="100" workbookViewId="0">
      <selection activeCell="M216" sqref="M216"/>
    </sheetView>
  </sheetViews>
  <sheetFormatPr defaultRowHeight="13.2" x14ac:dyDescent="0.25"/>
  <cols>
    <col min="1" max="1" width="4.5546875" customWidth="1"/>
    <col min="2" max="2" width="41.88671875" customWidth="1"/>
    <col min="3" max="3" width="10.44140625" customWidth="1"/>
    <col min="4" max="4" width="10.5546875" customWidth="1"/>
    <col min="5" max="5" width="9.5546875" customWidth="1"/>
    <col min="6" max="6" width="8.33203125" customWidth="1"/>
    <col min="7" max="8" width="9.5546875" customWidth="1"/>
    <col min="9" max="9" width="9.44140625" customWidth="1"/>
    <col min="10" max="10" width="7.44140625" customWidth="1"/>
    <col min="11" max="11" width="8.33203125" customWidth="1"/>
    <col min="12" max="12" width="8.5546875" customWidth="1"/>
    <col min="13" max="13" width="9.44140625" customWidth="1"/>
    <col min="14" max="14" width="8.5546875" customWidth="1"/>
    <col min="15" max="15" width="8.44140625" customWidth="1"/>
    <col min="16" max="16" width="8.6640625" customWidth="1"/>
    <col min="17" max="17" width="8.5546875" customWidth="1"/>
    <col min="18" max="18" width="6" customWidth="1"/>
    <col min="19" max="19" width="8.33203125" customWidth="1"/>
    <col min="20" max="20" width="8" customWidth="1"/>
    <col min="21" max="21" width="7.44140625" customWidth="1"/>
    <col min="22" max="22" width="6.44140625" customWidth="1"/>
  </cols>
  <sheetData>
    <row r="2" spans="1:22" x14ac:dyDescent="0.25">
      <c r="R2" s="8" t="s">
        <v>25</v>
      </c>
    </row>
    <row r="3" spans="1:22" x14ac:dyDescent="0.25">
      <c r="C3" s="1032" t="s">
        <v>209</v>
      </c>
      <c r="D3" s="1032"/>
      <c r="E3" s="1032"/>
      <c r="F3" s="1032"/>
      <c r="G3" s="1032"/>
      <c r="H3" s="1032"/>
      <c r="I3" s="1032"/>
      <c r="J3" s="1032"/>
      <c r="P3" s="8"/>
      <c r="R3" s="8" t="s">
        <v>210</v>
      </c>
      <c r="S3" s="3"/>
      <c r="T3" s="3"/>
      <c r="U3" s="4"/>
      <c r="V3" s="4"/>
    </row>
    <row r="4" spans="1:22" x14ac:dyDescent="0.25">
      <c r="B4" s="59"/>
      <c r="C4" s="1032" t="s">
        <v>108</v>
      </c>
      <c r="D4" s="1032"/>
      <c r="E4" s="1032"/>
      <c r="F4" s="1032"/>
      <c r="G4" s="1032"/>
      <c r="H4" s="1032"/>
      <c r="I4" s="1032"/>
      <c r="P4" s="8"/>
      <c r="Q4" s="3"/>
      <c r="R4" s="8" t="s">
        <v>109</v>
      </c>
    </row>
    <row r="5" spans="1:22" ht="13.8" thickBot="1" x14ac:dyDescent="0.3">
      <c r="P5" s="8"/>
      <c r="T5" s="6" t="s">
        <v>110</v>
      </c>
    </row>
    <row r="6" spans="1:22" x14ac:dyDescent="0.25">
      <c r="A6" s="1044"/>
      <c r="B6" s="1046" t="s">
        <v>42</v>
      </c>
      <c r="C6" s="1049" t="s">
        <v>43</v>
      </c>
      <c r="D6" s="1039" t="s">
        <v>44</v>
      </c>
      <c r="E6" s="1039"/>
      <c r="F6" s="1040"/>
      <c r="G6" s="1049" t="s">
        <v>45</v>
      </c>
      <c r="H6" s="1039" t="s">
        <v>44</v>
      </c>
      <c r="I6" s="1039"/>
      <c r="J6" s="1041"/>
      <c r="K6" s="1036" t="s">
        <v>211</v>
      </c>
      <c r="L6" s="1039" t="s">
        <v>44</v>
      </c>
      <c r="M6" s="1039"/>
      <c r="N6" s="1040"/>
      <c r="O6" s="1036" t="s">
        <v>46</v>
      </c>
      <c r="P6" s="1039" t="s">
        <v>44</v>
      </c>
      <c r="Q6" s="1039"/>
      <c r="R6" s="1040"/>
      <c r="S6" s="1036" t="s">
        <v>47</v>
      </c>
      <c r="T6" s="1039" t="s">
        <v>44</v>
      </c>
      <c r="U6" s="1039"/>
      <c r="V6" s="1040"/>
    </row>
    <row r="7" spans="1:22" x14ac:dyDescent="0.25">
      <c r="A7" s="1045"/>
      <c r="B7" s="1047"/>
      <c r="C7" s="1050"/>
      <c r="D7" s="1033" t="s">
        <v>48</v>
      </c>
      <c r="E7" s="1033"/>
      <c r="F7" s="1042" t="s">
        <v>49</v>
      </c>
      <c r="G7" s="1050"/>
      <c r="H7" s="1033" t="s">
        <v>48</v>
      </c>
      <c r="I7" s="1033"/>
      <c r="J7" s="1034" t="s">
        <v>49</v>
      </c>
      <c r="K7" s="1037"/>
      <c r="L7" s="1033" t="s">
        <v>48</v>
      </c>
      <c r="M7" s="1033"/>
      <c r="N7" s="1042" t="s">
        <v>49</v>
      </c>
      <c r="O7" s="1037"/>
      <c r="P7" s="1033" t="s">
        <v>48</v>
      </c>
      <c r="Q7" s="1033"/>
      <c r="R7" s="1042" t="s">
        <v>49</v>
      </c>
      <c r="S7" s="1037"/>
      <c r="T7" s="1033" t="s">
        <v>48</v>
      </c>
      <c r="U7" s="1033"/>
      <c r="V7" s="1042" t="s">
        <v>49</v>
      </c>
    </row>
    <row r="8" spans="1:22" ht="46.2" thickBot="1" x14ac:dyDescent="0.3">
      <c r="A8" s="1045"/>
      <c r="B8" s="1048"/>
      <c r="C8" s="1051"/>
      <c r="D8" s="60" t="s">
        <v>43</v>
      </c>
      <c r="E8" s="61" t="s">
        <v>50</v>
      </c>
      <c r="F8" s="1043"/>
      <c r="G8" s="1051"/>
      <c r="H8" s="60" t="s">
        <v>43</v>
      </c>
      <c r="I8" s="61" t="s">
        <v>50</v>
      </c>
      <c r="J8" s="1035"/>
      <c r="K8" s="1038"/>
      <c r="L8" s="60" t="s">
        <v>43</v>
      </c>
      <c r="M8" s="61" t="s">
        <v>50</v>
      </c>
      <c r="N8" s="1043"/>
      <c r="O8" s="1038"/>
      <c r="P8" s="60" t="s">
        <v>43</v>
      </c>
      <c r="Q8" s="61" t="s">
        <v>50</v>
      </c>
      <c r="R8" s="1043"/>
      <c r="S8" s="1038"/>
      <c r="T8" s="60" t="s">
        <v>43</v>
      </c>
      <c r="U8" s="61" t="s">
        <v>50</v>
      </c>
      <c r="V8" s="1043"/>
    </row>
    <row r="9" spans="1:22" ht="28.2" thickBot="1" x14ac:dyDescent="0.3">
      <c r="A9" s="62">
        <v>1</v>
      </c>
      <c r="B9" s="63" t="s">
        <v>111</v>
      </c>
      <c r="C9" s="54">
        <f t="shared" ref="C9:F25" si="0">G9+K9+O9+S9</f>
        <v>0</v>
      </c>
      <c r="D9" s="52">
        <f t="shared" si="0"/>
        <v>0</v>
      </c>
      <c r="E9" s="52">
        <f t="shared" si="0"/>
        <v>0</v>
      </c>
      <c r="F9" s="54">
        <f t="shared" si="0"/>
        <v>0</v>
      </c>
      <c r="G9" s="64">
        <f>G13+G17+G18+G20+G25+G28+G31+SUM(G33:G43)+G23+G10</f>
        <v>0</v>
      </c>
      <c r="H9" s="65">
        <f>H13+H17+H18+H20+H25+H28+H31+SUM(H33:H43)+H23+H10</f>
        <v>0</v>
      </c>
      <c r="I9" s="65">
        <f>I13+I17+I18+I20+I25+I28+I31+SUM(I33:I43)+I23+I10</f>
        <v>0</v>
      </c>
      <c r="J9" s="66">
        <f>J13+J17+J18+J20+J25+J28+J31+SUM(J33:J43)+J23+J10</f>
        <v>0</v>
      </c>
      <c r="K9" s="65">
        <f>K13+K17+K18+K20+K25+K28+K31+SUM(K33:K43)</f>
        <v>0</v>
      </c>
      <c r="L9" s="52">
        <f>L13+L18+SUM(L33:L43)</f>
        <v>0</v>
      </c>
      <c r="M9" s="52">
        <f>M13+M17+M18+M20+M25+M28+M31+SUM(M33:M43)</f>
        <v>0</v>
      </c>
      <c r="N9" s="55"/>
      <c r="O9" s="64"/>
      <c r="P9" s="52"/>
      <c r="Q9" s="52"/>
      <c r="R9" s="57"/>
      <c r="S9" s="64">
        <f>S13+S17+S18+S20+S25+S28+S31+SUM(S33:S43)</f>
        <v>0</v>
      </c>
      <c r="T9" s="52">
        <f>T20+SUM(T34:T43)</f>
        <v>0</v>
      </c>
      <c r="U9" s="52">
        <f>U20+SUM(U34:U43)</f>
        <v>0</v>
      </c>
      <c r="V9" s="57"/>
    </row>
    <row r="10" spans="1:22" x14ac:dyDescent="0.25">
      <c r="A10" s="67">
        <v>2</v>
      </c>
      <c r="B10" s="68" t="s">
        <v>51</v>
      </c>
      <c r="C10" s="69">
        <f t="shared" si="0"/>
        <v>0</v>
      </c>
      <c r="D10" s="69">
        <f>H10+L10+P10+T10</f>
        <v>0</v>
      </c>
      <c r="E10" s="69">
        <f>I10+M10+Q10+U10</f>
        <v>0</v>
      </c>
      <c r="F10" s="70"/>
      <c r="G10" s="71">
        <f>G11+G12</f>
        <v>0</v>
      </c>
      <c r="H10" s="72">
        <f>H11+H12</f>
        <v>0</v>
      </c>
      <c r="I10" s="72">
        <f>I11+I12</f>
        <v>0</v>
      </c>
      <c r="J10" s="73"/>
      <c r="K10" s="69"/>
      <c r="L10" s="74"/>
      <c r="M10" s="74"/>
      <c r="N10" s="75"/>
      <c r="O10" s="76"/>
      <c r="P10" s="74"/>
      <c r="Q10" s="74"/>
      <c r="R10" s="77"/>
      <c r="S10" s="76"/>
      <c r="T10" s="74"/>
      <c r="U10" s="74"/>
      <c r="V10" s="77"/>
    </row>
    <row r="11" spans="1:22" x14ac:dyDescent="0.25">
      <c r="A11" s="67">
        <v>3</v>
      </c>
      <c r="B11" s="9" t="s">
        <v>52</v>
      </c>
      <c r="C11" s="10">
        <f t="shared" si="0"/>
        <v>0</v>
      </c>
      <c r="D11" s="10">
        <f>H11+L11+P11+T11</f>
        <v>0</v>
      </c>
      <c r="E11" s="10">
        <f>I11+M11+Q11+U11</f>
        <v>0</v>
      </c>
      <c r="F11" s="11"/>
      <c r="G11" s="12">
        <f>H11+J11</f>
        <v>0</v>
      </c>
      <c r="H11" s="13"/>
      <c r="I11" s="13"/>
      <c r="J11" s="77"/>
      <c r="K11" s="78"/>
      <c r="L11" s="74"/>
      <c r="M11" s="74"/>
      <c r="N11" s="78"/>
      <c r="O11" s="79"/>
      <c r="P11" s="74"/>
      <c r="Q11" s="74"/>
      <c r="R11" s="80"/>
      <c r="S11" s="79"/>
      <c r="T11" s="74"/>
      <c r="U11" s="74"/>
      <c r="V11" s="80"/>
    </row>
    <row r="12" spans="1:22" x14ac:dyDescent="0.25">
      <c r="A12" s="67">
        <v>4</v>
      </c>
      <c r="B12" s="14" t="s">
        <v>53</v>
      </c>
      <c r="C12" s="10">
        <f t="shared" si="0"/>
        <v>0</v>
      </c>
      <c r="D12" s="10">
        <f t="shared" si="0"/>
        <v>0</v>
      </c>
      <c r="E12" s="15">
        <f t="shared" si="0"/>
        <v>0</v>
      </c>
      <c r="F12" s="11"/>
      <c r="G12" s="12">
        <f>H12+J12</f>
        <v>0</v>
      </c>
      <c r="H12" s="16"/>
      <c r="I12" s="13"/>
      <c r="J12" s="77"/>
      <c r="K12" s="78"/>
      <c r="L12" s="74"/>
      <c r="M12" s="74"/>
      <c r="N12" s="78"/>
      <c r="O12" s="79"/>
      <c r="P12" s="74"/>
      <c r="Q12" s="74"/>
      <c r="R12" s="80"/>
      <c r="S12" s="79"/>
      <c r="T12" s="74"/>
      <c r="U12" s="74"/>
      <c r="V12" s="80"/>
    </row>
    <row r="13" spans="1:22" x14ac:dyDescent="0.25">
      <c r="A13" s="67">
        <v>5</v>
      </c>
      <c r="B13" s="81" t="s">
        <v>112</v>
      </c>
      <c r="C13" s="69">
        <f t="shared" si="0"/>
        <v>0</v>
      </c>
      <c r="D13" s="74">
        <f t="shared" ref="D13:J13" si="1">SUM(D14:D16)</f>
        <v>0</v>
      </c>
      <c r="E13" s="74">
        <f t="shared" si="1"/>
        <v>0</v>
      </c>
      <c r="F13" s="75">
        <f t="shared" si="1"/>
        <v>0</v>
      </c>
      <c r="G13" s="76">
        <f t="shared" si="1"/>
        <v>0</v>
      </c>
      <c r="H13" s="74">
        <f t="shared" si="1"/>
        <v>0</v>
      </c>
      <c r="I13" s="74">
        <f t="shared" si="1"/>
        <v>0</v>
      </c>
      <c r="J13" s="77">
        <f t="shared" si="1"/>
        <v>0</v>
      </c>
      <c r="K13" s="78">
        <f>K14+K15+K16</f>
        <v>0</v>
      </c>
      <c r="L13" s="19">
        <f>L14+L15+L16</f>
        <v>0</v>
      </c>
      <c r="M13" s="19">
        <f>M14+M15+M16</f>
        <v>0</v>
      </c>
      <c r="N13" s="78"/>
      <c r="O13" s="79"/>
      <c r="P13" s="74"/>
      <c r="Q13" s="74"/>
      <c r="R13" s="80"/>
      <c r="S13" s="79"/>
      <c r="T13" s="74"/>
      <c r="U13" s="74"/>
      <c r="V13" s="80"/>
    </row>
    <row r="14" spans="1:22" x14ac:dyDescent="0.25">
      <c r="A14" s="82">
        <f>+A13+1</f>
        <v>6</v>
      </c>
      <c r="B14" s="32" t="s">
        <v>113</v>
      </c>
      <c r="C14" s="10">
        <f t="shared" si="0"/>
        <v>0</v>
      </c>
      <c r="D14" s="15">
        <f t="shared" si="0"/>
        <v>0</v>
      </c>
      <c r="E14" s="15">
        <f t="shared" si="0"/>
        <v>0</v>
      </c>
      <c r="F14" s="15">
        <f t="shared" si="0"/>
        <v>0</v>
      </c>
      <c r="G14" s="12">
        <f t="shared" ref="G14:G24" si="2">H14+J14</f>
        <v>0</v>
      </c>
      <c r="H14" s="15"/>
      <c r="I14" s="83"/>
      <c r="J14" s="84"/>
      <c r="K14" s="10">
        <f>L14+N14</f>
        <v>0</v>
      </c>
      <c r="L14" s="85"/>
      <c r="M14" s="83"/>
      <c r="N14" s="86"/>
      <c r="O14" s="87"/>
      <c r="P14" s="85"/>
      <c r="Q14" s="85"/>
      <c r="R14" s="84"/>
      <c r="S14" s="12"/>
      <c r="T14" s="85"/>
      <c r="U14" s="85"/>
      <c r="V14" s="84"/>
    </row>
    <row r="15" spans="1:22" x14ac:dyDescent="0.25">
      <c r="A15" s="82">
        <v>7</v>
      </c>
      <c r="B15" s="32" t="s">
        <v>114</v>
      </c>
      <c r="C15" s="10">
        <f t="shared" si="0"/>
        <v>0</v>
      </c>
      <c r="D15" s="85">
        <f t="shared" si="0"/>
        <v>0</v>
      </c>
      <c r="E15" s="85"/>
      <c r="F15" s="75"/>
      <c r="G15" s="12">
        <f t="shared" si="2"/>
        <v>0</v>
      </c>
      <c r="H15" s="85"/>
      <c r="I15" s="85"/>
      <c r="J15" s="84"/>
      <c r="K15" s="18"/>
      <c r="L15" s="85"/>
      <c r="M15" s="85"/>
      <c r="N15" s="86"/>
      <c r="O15" s="87"/>
      <c r="P15" s="85"/>
      <c r="Q15" s="85"/>
      <c r="R15" s="84"/>
      <c r="S15" s="87"/>
      <c r="T15" s="85"/>
      <c r="U15" s="85"/>
      <c r="V15" s="84"/>
    </row>
    <row r="16" spans="1:22" x14ac:dyDescent="0.25">
      <c r="A16" s="82">
        <f>+A15+1</f>
        <v>8</v>
      </c>
      <c r="B16" s="32" t="s">
        <v>115</v>
      </c>
      <c r="C16" s="10">
        <f t="shared" si="0"/>
        <v>0</v>
      </c>
      <c r="D16" s="85">
        <f t="shared" si="0"/>
        <v>0</v>
      </c>
      <c r="E16" s="85"/>
      <c r="F16" s="75"/>
      <c r="G16" s="12">
        <f t="shared" si="2"/>
        <v>0</v>
      </c>
      <c r="H16" s="85"/>
      <c r="I16" s="85"/>
      <c r="J16" s="84"/>
      <c r="K16" s="18"/>
      <c r="L16" s="85"/>
      <c r="M16" s="85"/>
      <c r="N16" s="86"/>
      <c r="O16" s="87"/>
      <c r="P16" s="85"/>
      <c r="Q16" s="85"/>
      <c r="R16" s="84"/>
      <c r="S16" s="87"/>
      <c r="T16" s="85"/>
      <c r="U16" s="85"/>
      <c r="V16" s="84"/>
    </row>
    <row r="17" spans="1:22" x14ac:dyDescent="0.25">
      <c r="A17" s="82">
        <v>9</v>
      </c>
      <c r="B17" s="17" t="s">
        <v>116</v>
      </c>
      <c r="C17" s="18">
        <f t="shared" si="0"/>
        <v>0</v>
      </c>
      <c r="D17" s="19">
        <f t="shared" si="0"/>
        <v>0</v>
      </c>
      <c r="E17" s="19">
        <f>I17+M17+Q17+U17</f>
        <v>0</v>
      </c>
      <c r="F17" s="86"/>
      <c r="G17" s="21">
        <f t="shared" si="2"/>
        <v>0</v>
      </c>
      <c r="H17" s="19"/>
      <c r="I17" s="19"/>
      <c r="J17" s="84"/>
      <c r="K17" s="18"/>
      <c r="L17" s="85"/>
      <c r="M17" s="85"/>
      <c r="N17" s="86"/>
      <c r="O17" s="87"/>
      <c r="P17" s="85"/>
      <c r="Q17" s="85"/>
      <c r="R17" s="84"/>
      <c r="S17" s="87"/>
      <c r="T17" s="85"/>
      <c r="U17" s="85"/>
      <c r="V17" s="84"/>
    </row>
    <row r="18" spans="1:22" x14ac:dyDescent="0.25">
      <c r="A18" s="82">
        <v>10</v>
      </c>
      <c r="B18" s="17" t="s">
        <v>117</v>
      </c>
      <c r="C18" s="18">
        <f t="shared" si="0"/>
        <v>0</v>
      </c>
      <c r="D18" s="19">
        <f t="shared" si="0"/>
        <v>0</v>
      </c>
      <c r="E18" s="19"/>
      <c r="F18" s="86"/>
      <c r="G18" s="21"/>
      <c r="H18" s="88"/>
      <c r="I18" s="19"/>
      <c r="J18" s="89"/>
      <c r="K18" s="88">
        <f>K19</f>
        <v>0</v>
      </c>
      <c r="L18" s="19">
        <f>L19</f>
        <v>0</v>
      </c>
      <c r="M18" s="85"/>
      <c r="N18" s="86"/>
      <c r="O18" s="87"/>
      <c r="P18" s="85"/>
      <c r="Q18" s="85"/>
      <c r="R18" s="84"/>
      <c r="S18" s="87"/>
      <c r="T18" s="85"/>
      <c r="U18" s="85"/>
      <c r="V18" s="84"/>
    </row>
    <row r="19" spans="1:22" x14ac:dyDescent="0.25">
      <c r="A19" s="82">
        <v>11</v>
      </c>
      <c r="B19" s="32" t="s">
        <v>118</v>
      </c>
      <c r="C19" s="10">
        <f t="shared" si="0"/>
        <v>0</v>
      </c>
      <c r="D19" s="15">
        <f t="shared" si="0"/>
        <v>0</v>
      </c>
      <c r="E19" s="19"/>
      <c r="F19" s="86"/>
      <c r="G19" s="12"/>
      <c r="H19" s="29"/>
      <c r="I19" s="19"/>
      <c r="J19" s="89"/>
      <c r="K19" s="29">
        <f>L19+M19+N19</f>
        <v>0</v>
      </c>
      <c r="L19" s="85"/>
      <c r="M19" s="85"/>
      <c r="N19" s="86"/>
      <c r="O19" s="87"/>
      <c r="P19" s="85"/>
      <c r="Q19" s="85"/>
      <c r="R19" s="84"/>
      <c r="S19" s="87"/>
      <c r="T19" s="85"/>
      <c r="U19" s="85"/>
      <c r="V19" s="84"/>
    </row>
    <row r="20" spans="1:22" x14ac:dyDescent="0.25">
      <c r="A20" s="82">
        <v>12</v>
      </c>
      <c r="B20" s="17" t="s">
        <v>36</v>
      </c>
      <c r="C20" s="18">
        <f t="shared" si="0"/>
        <v>0</v>
      </c>
      <c r="D20" s="19">
        <f t="shared" si="0"/>
        <v>0</v>
      </c>
      <c r="E20" s="19"/>
      <c r="F20" s="20"/>
      <c r="G20" s="27">
        <f t="shared" si="2"/>
        <v>0</v>
      </c>
      <c r="H20" s="19">
        <f>H21+H22</f>
        <v>0</v>
      </c>
      <c r="I20" s="19"/>
      <c r="J20" s="28"/>
      <c r="K20" s="88"/>
      <c r="L20" s="19"/>
      <c r="M20" s="19"/>
      <c r="N20" s="88"/>
      <c r="O20" s="27"/>
      <c r="P20" s="19"/>
      <c r="Q20" s="19"/>
      <c r="R20" s="28"/>
      <c r="S20" s="27">
        <f>S21+S22</f>
        <v>0</v>
      </c>
      <c r="T20" s="19">
        <f>T21+T22</f>
        <v>0</v>
      </c>
      <c r="U20" s="19"/>
      <c r="V20" s="22"/>
    </row>
    <row r="21" spans="1:22" x14ac:dyDescent="0.25">
      <c r="A21" s="82">
        <v>13</v>
      </c>
      <c r="B21" s="32" t="s">
        <v>119</v>
      </c>
      <c r="C21" s="10">
        <f t="shared" si="0"/>
        <v>0</v>
      </c>
      <c r="D21" s="85">
        <f t="shared" si="0"/>
        <v>0</v>
      </c>
      <c r="E21" s="85"/>
      <c r="F21" s="86"/>
      <c r="G21" s="12">
        <f t="shared" si="2"/>
        <v>0</v>
      </c>
      <c r="H21" s="85"/>
      <c r="I21" s="85"/>
      <c r="J21" s="84"/>
      <c r="K21" s="18"/>
      <c r="L21" s="86"/>
      <c r="M21" s="85"/>
      <c r="N21" s="86"/>
      <c r="O21" s="87"/>
      <c r="P21" s="85"/>
      <c r="Q21" s="85"/>
      <c r="R21" s="84"/>
      <c r="S21" s="87"/>
      <c r="T21" s="85"/>
      <c r="U21" s="85"/>
      <c r="V21" s="84"/>
    </row>
    <row r="22" spans="1:22" ht="15.6" x14ac:dyDescent="0.3">
      <c r="A22" s="82">
        <v>14</v>
      </c>
      <c r="B22" s="32" t="s">
        <v>120</v>
      </c>
      <c r="C22" s="10">
        <f t="shared" si="0"/>
        <v>0</v>
      </c>
      <c r="D22" s="85">
        <f t="shared" si="0"/>
        <v>0</v>
      </c>
      <c r="E22" s="85"/>
      <c r="F22" s="86"/>
      <c r="G22" s="90"/>
      <c r="H22" s="85"/>
      <c r="I22" s="85"/>
      <c r="J22" s="84"/>
      <c r="K22" s="91"/>
      <c r="L22" s="86"/>
      <c r="M22" s="85"/>
      <c r="N22" s="86"/>
      <c r="O22" s="87"/>
      <c r="P22" s="85"/>
      <c r="Q22" s="85"/>
      <c r="R22" s="84"/>
      <c r="S22" s="12">
        <f>T22+V22</f>
        <v>0</v>
      </c>
      <c r="T22" s="85"/>
      <c r="U22" s="85"/>
      <c r="V22" s="84"/>
    </row>
    <row r="23" spans="1:22" x14ac:dyDescent="0.25">
      <c r="A23" s="82">
        <v>15</v>
      </c>
      <c r="B23" s="17" t="s">
        <v>121</v>
      </c>
      <c r="C23" s="18">
        <f t="shared" si="0"/>
        <v>0</v>
      </c>
      <c r="D23" s="19">
        <f t="shared" si="0"/>
        <v>0</v>
      </c>
      <c r="E23" s="19">
        <f t="shared" si="0"/>
        <v>0</v>
      </c>
      <c r="F23" s="20"/>
      <c r="G23" s="21">
        <f t="shared" si="2"/>
        <v>0</v>
      </c>
      <c r="H23" s="19">
        <f>H24</f>
        <v>0</v>
      </c>
      <c r="I23" s="19">
        <f>I24</f>
        <v>0</v>
      </c>
      <c r="J23" s="89"/>
      <c r="K23" s="92"/>
      <c r="L23" s="86"/>
      <c r="M23" s="85"/>
      <c r="N23" s="86"/>
      <c r="O23" s="87"/>
      <c r="P23" s="85"/>
      <c r="Q23" s="85"/>
      <c r="R23" s="84"/>
      <c r="S23" s="87"/>
      <c r="T23" s="85"/>
      <c r="U23" s="85"/>
      <c r="V23" s="84"/>
    </row>
    <row r="24" spans="1:22" x14ac:dyDescent="0.25">
      <c r="A24" s="82">
        <v>16</v>
      </c>
      <c r="B24" s="32" t="s">
        <v>122</v>
      </c>
      <c r="C24" s="10">
        <f t="shared" si="0"/>
        <v>0</v>
      </c>
      <c r="D24" s="85">
        <f t="shared" si="0"/>
        <v>0</v>
      </c>
      <c r="E24" s="85">
        <f t="shared" si="0"/>
        <v>0</v>
      </c>
      <c r="F24" s="86"/>
      <c r="G24" s="12">
        <f t="shared" si="2"/>
        <v>0</v>
      </c>
      <c r="H24" s="85"/>
      <c r="I24" s="85"/>
      <c r="J24" s="89"/>
      <c r="K24" s="92"/>
      <c r="L24" s="86"/>
      <c r="M24" s="85"/>
      <c r="N24" s="86"/>
      <c r="O24" s="87"/>
      <c r="P24" s="85"/>
      <c r="Q24" s="85"/>
      <c r="R24" s="84"/>
      <c r="S24" s="87"/>
      <c r="T24" s="85"/>
      <c r="U24" s="85"/>
      <c r="V24" s="84"/>
    </row>
    <row r="25" spans="1:22" x14ac:dyDescent="0.25">
      <c r="A25" s="82">
        <v>17</v>
      </c>
      <c r="B25" s="17" t="s">
        <v>123</v>
      </c>
      <c r="C25" s="18">
        <f t="shared" si="0"/>
        <v>0</v>
      </c>
      <c r="D25" s="19">
        <f t="shared" si="0"/>
        <v>0</v>
      </c>
      <c r="E25" s="19"/>
      <c r="F25" s="20"/>
      <c r="G25" s="27">
        <f>G26+G27</f>
        <v>0</v>
      </c>
      <c r="H25" s="19">
        <f>H26+H27</f>
        <v>0</v>
      </c>
      <c r="I25" s="19"/>
      <c r="J25" s="28"/>
      <c r="K25" s="92"/>
      <c r="L25" s="85"/>
      <c r="M25" s="85"/>
      <c r="N25" s="86"/>
      <c r="O25" s="87"/>
      <c r="P25" s="85"/>
      <c r="Q25" s="85"/>
      <c r="R25" s="84"/>
      <c r="S25" s="87"/>
      <c r="T25" s="85"/>
      <c r="U25" s="85"/>
      <c r="V25" s="84"/>
    </row>
    <row r="26" spans="1:22" x14ac:dyDescent="0.25">
      <c r="A26" s="82">
        <v>18</v>
      </c>
      <c r="B26" s="93" t="s">
        <v>124</v>
      </c>
      <c r="C26" s="10">
        <f t="shared" ref="C26:E54" si="3">G26+K26+O26+S26</f>
        <v>0</v>
      </c>
      <c r="D26" s="85">
        <f t="shared" si="3"/>
        <v>0</v>
      </c>
      <c r="E26" s="85"/>
      <c r="F26" s="86"/>
      <c r="G26" s="94">
        <f>H26+J26</f>
        <v>0</v>
      </c>
      <c r="H26" s="85"/>
      <c r="I26" s="85"/>
      <c r="J26" s="89"/>
      <c r="K26" s="92"/>
      <c r="L26" s="85"/>
      <c r="M26" s="85"/>
      <c r="N26" s="86"/>
      <c r="O26" s="87"/>
      <c r="P26" s="85"/>
      <c r="Q26" s="85"/>
      <c r="R26" s="84"/>
      <c r="S26" s="87"/>
      <c r="T26" s="85"/>
      <c r="U26" s="85"/>
      <c r="V26" s="84"/>
    </row>
    <row r="27" spans="1:22" ht="26.4" x14ac:dyDescent="0.25">
      <c r="A27" s="82">
        <v>19</v>
      </c>
      <c r="B27" s="95" t="s">
        <v>125</v>
      </c>
      <c r="C27" s="10">
        <f t="shared" si="3"/>
        <v>0</v>
      </c>
      <c r="D27" s="85">
        <f t="shared" si="3"/>
        <v>0</v>
      </c>
      <c r="E27" s="85"/>
      <c r="F27" s="86"/>
      <c r="G27" s="94">
        <f>H27+J27</f>
        <v>0</v>
      </c>
      <c r="H27" s="85"/>
      <c r="I27" s="85"/>
      <c r="J27" s="89"/>
      <c r="K27" s="92"/>
      <c r="L27" s="85"/>
      <c r="M27" s="85"/>
      <c r="N27" s="86"/>
      <c r="O27" s="87"/>
      <c r="P27" s="85"/>
      <c r="Q27" s="85"/>
      <c r="R27" s="84"/>
      <c r="S27" s="87"/>
      <c r="T27" s="85"/>
      <c r="U27" s="85"/>
      <c r="V27" s="84"/>
    </row>
    <row r="28" spans="1:22" x14ac:dyDescent="0.25">
      <c r="A28" s="82">
        <f>+A27+1</f>
        <v>20</v>
      </c>
      <c r="B28" s="17" t="s">
        <v>126</v>
      </c>
      <c r="C28" s="18">
        <f t="shared" si="3"/>
        <v>0</v>
      </c>
      <c r="D28" s="19">
        <f t="shared" si="3"/>
        <v>0</v>
      </c>
      <c r="E28" s="85"/>
      <c r="F28" s="86"/>
      <c r="G28" s="27">
        <f>G29+G30</f>
        <v>0</v>
      </c>
      <c r="H28" s="19">
        <f>H29+H30</f>
        <v>0</v>
      </c>
      <c r="I28" s="85"/>
      <c r="J28" s="89"/>
      <c r="K28" s="92"/>
      <c r="L28" s="85"/>
      <c r="M28" s="85"/>
      <c r="N28" s="86"/>
      <c r="O28" s="87"/>
      <c r="P28" s="85"/>
      <c r="Q28" s="85"/>
      <c r="R28" s="84"/>
      <c r="S28" s="87"/>
      <c r="T28" s="85"/>
      <c r="U28" s="85"/>
      <c r="V28" s="84"/>
    </row>
    <row r="29" spans="1:22" x14ac:dyDescent="0.25">
      <c r="A29" s="82">
        <f>+A28+1</f>
        <v>21</v>
      </c>
      <c r="B29" s="96" t="s">
        <v>127</v>
      </c>
      <c r="C29" s="10">
        <f t="shared" si="3"/>
        <v>0</v>
      </c>
      <c r="D29" s="85">
        <f t="shared" si="3"/>
        <v>0</v>
      </c>
      <c r="E29" s="85"/>
      <c r="F29" s="86"/>
      <c r="G29" s="94">
        <f>H29+J29</f>
        <v>0</v>
      </c>
      <c r="H29" s="85"/>
      <c r="I29" s="85"/>
      <c r="J29" s="89"/>
      <c r="K29" s="92"/>
      <c r="L29" s="85"/>
      <c r="M29" s="85"/>
      <c r="N29" s="86"/>
      <c r="O29" s="87"/>
      <c r="P29" s="85"/>
      <c r="Q29" s="85"/>
      <c r="R29" s="84"/>
      <c r="S29" s="87"/>
      <c r="T29" s="85"/>
      <c r="U29" s="85"/>
      <c r="V29" s="84"/>
    </row>
    <row r="30" spans="1:22" x14ac:dyDescent="0.25">
      <c r="A30" s="82">
        <f>+A29+1</f>
        <v>22</v>
      </c>
      <c r="B30" s="32" t="s">
        <v>128</v>
      </c>
      <c r="C30" s="10">
        <f t="shared" si="3"/>
        <v>0</v>
      </c>
      <c r="D30" s="85">
        <f t="shared" si="3"/>
        <v>0</v>
      </c>
      <c r="E30" s="85"/>
      <c r="F30" s="86"/>
      <c r="G30" s="94">
        <f>H30+J30</f>
        <v>0</v>
      </c>
      <c r="H30" s="85"/>
      <c r="I30" s="85"/>
      <c r="J30" s="89"/>
      <c r="K30" s="92"/>
      <c r="L30" s="85"/>
      <c r="M30" s="85"/>
      <c r="N30" s="86"/>
      <c r="O30" s="87"/>
      <c r="P30" s="85"/>
      <c r="Q30" s="85"/>
      <c r="R30" s="84"/>
      <c r="S30" s="87"/>
      <c r="T30" s="85"/>
      <c r="U30" s="85"/>
      <c r="V30" s="84"/>
    </row>
    <row r="31" spans="1:22" x14ac:dyDescent="0.25">
      <c r="A31" s="82">
        <f>+A30+1</f>
        <v>23</v>
      </c>
      <c r="B31" s="17" t="s">
        <v>129</v>
      </c>
      <c r="C31" s="18">
        <f t="shared" si="3"/>
        <v>0</v>
      </c>
      <c r="D31" s="19">
        <f t="shared" si="3"/>
        <v>0</v>
      </c>
      <c r="E31" s="85"/>
      <c r="F31" s="86"/>
      <c r="G31" s="27">
        <f>H31</f>
        <v>0</v>
      </c>
      <c r="H31" s="19">
        <f>H32</f>
        <v>0</v>
      </c>
      <c r="I31" s="85"/>
      <c r="J31" s="89"/>
      <c r="K31" s="92"/>
      <c r="L31" s="85"/>
      <c r="M31" s="85"/>
      <c r="N31" s="86"/>
      <c r="O31" s="87"/>
      <c r="P31" s="85"/>
      <c r="Q31" s="85"/>
      <c r="R31" s="84"/>
      <c r="S31" s="87"/>
      <c r="T31" s="85"/>
      <c r="U31" s="85"/>
      <c r="V31" s="84"/>
    </row>
    <row r="32" spans="1:22" x14ac:dyDescent="0.25">
      <c r="A32" s="82">
        <f>+A31+1</f>
        <v>24</v>
      </c>
      <c r="B32" s="32" t="s">
        <v>130</v>
      </c>
      <c r="C32" s="10">
        <f t="shared" si="3"/>
        <v>0</v>
      </c>
      <c r="D32" s="85">
        <f t="shared" si="3"/>
        <v>0</v>
      </c>
      <c r="E32" s="85"/>
      <c r="F32" s="86"/>
      <c r="G32" s="87">
        <f t="shared" ref="G32:G43" si="4">H32+J32</f>
        <v>0</v>
      </c>
      <c r="H32" s="85"/>
      <c r="I32" s="85"/>
      <c r="J32" s="84"/>
      <c r="K32" s="91"/>
      <c r="L32" s="85"/>
      <c r="M32" s="85"/>
      <c r="N32" s="86"/>
      <c r="O32" s="87"/>
      <c r="P32" s="85"/>
      <c r="Q32" s="85"/>
      <c r="R32" s="84"/>
      <c r="S32" s="87"/>
      <c r="T32" s="85"/>
      <c r="U32" s="85"/>
      <c r="V32" s="84"/>
    </row>
    <row r="33" spans="1:22" x14ac:dyDescent="0.25">
      <c r="A33" s="82">
        <v>25</v>
      </c>
      <c r="B33" s="17" t="s">
        <v>1</v>
      </c>
      <c r="C33" s="18">
        <f t="shared" si="3"/>
        <v>0</v>
      </c>
      <c r="D33" s="19">
        <f t="shared" si="3"/>
        <v>0</v>
      </c>
      <c r="E33" s="19">
        <f t="shared" si="3"/>
        <v>0</v>
      </c>
      <c r="F33" s="20"/>
      <c r="G33" s="21">
        <f t="shared" si="4"/>
        <v>0</v>
      </c>
      <c r="H33" s="19"/>
      <c r="I33" s="19"/>
      <c r="J33" s="22"/>
      <c r="K33" s="18">
        <f>L33+N33</f>
        <v>0</v>
      </c>
      <c r="L33" s="19"/>
      <c r="M33" s="25"/>
      <c r="N33" s="20"/>
      <c r="O33" s="21"/>
      <c r="P33" s="19"/>
      <c r="Q33" s="19"/>
      <c r="R33" s="22"/>
      <c r="S33" s="21"/>
      <c r="T33" s="19"/>
      <c r="U33" s="19"/>
      <c r="V33" s="22"/>
    </row>
    <row r="34" spans="1:22" x14ac:dyDescent="0.25">
      <c r="A34" s="82">
        <v>26</v>
      </c>
      <c r="B34" s="17" t="s">
        <v>7</v>
      </c>
      <c r="C34" s="18">
        <f t="shared" si="3"/>
        <v>0</v>
      </c>
      <c r="D34" s="19">
        <f t="shared" si="3"/>
        <v>0</v>
      </c>
      <c r="E34" s="19">
        <f t="shared" si="3"/>
        <v>0</v>
      </c>
      <c r="F34" s="20"/>
      <c r="G34" s="21">
        <f t="shared" si="4"/>
        <v>0</v>
      </c>
      <c r="H34" s="19"/>
      <c r="I34" s="19"/>
      <c r="J34" s="22"/>
      <c r="K34" s="18">
        <f t="shared" ref="K34:K43" si="5">L34+N34</f>
        <v>0</v>
      </c>
      <c r="L34" s="19"/>
      <c r="M34" s="19"/>
      <c r="N34" s="23"/>
      <c r="O34" s="21"/>
      <c r="P34" s="19"/>
      <c r="Q34" s="19"/>
      <c r="R34" s="22"/>
      <c r="S34" s="21">
        <f t="shared" ref="S34:S43" si="6">T34+V34</f>
        <v>0</v>
      </c>
      <c r="T34" s="19"/>
      <c r="U34" s="19"/>
      <c r="V34" s="24"/>
    </row>
    <row r="35" spans="1:22" x14ac:dyDescent="0.25">
      <c r="A35" s="82">
        <f t="shared" ref="A35:A43" si="7">+A34+1</f>
        <v>27</v>
      </c>
      <c r="B35" s="17" t="s">
        <v>8</v>
      </c>
      <c r="C35" s="18">
        <f t="shared" si="3"/>
        <v>0</v>
      </c>
      <c r="D35" s="19">
        <f t="shared" si="3"/>
        <v>0</v>
      </c>
      <c r="E35" s="19">
        <f t="shared" si="3"/>
        <v>0</v>
      </c>
      <c r="F35" s="20"/>
      <c r="G35" s="21">
        <f t="shared" si="4"/>
        <v>0</v>
      </c>
      <c r="H35" s="19"/>
      <c r="I35" s="19"/>
      <c r="J35" s="24"/>
      <c r="K35" s="18">
        <f t="shared" si="5"/>
        <v>0</v>
      </c>
      <c r="L35" s="19"/>
      <c r="M35" s="19"/>
      <c r="N35" s="23"/>
      <c r="O35" s="21"/>
      <c r="P35" s="19"/>
      <c r="Q35" s="19"/>
      <c r="R35" s="22"/>
      <c r="S35" s="21">
        <f t="shared" si="6"/>
        <v>0</v>
      </c>
      <c r="T35" s="19"/>
      <c r="U35" s="19"/>
      <c r="V35" s="22"/>
    </row>
    <row r="36" spans="1:22" x14ac:dyDescent="0.25">
      <c r="A36" s="82">
        <f t="shared" si="7"/>
        <v>28</v>
      </c>
      <c r="B36" s="17" t="s">
        <v>9</v>
      </c>
      <c r="C36" s="18">
        <f t="shared" si="3"/>
        <v>0</v>
      </c>
      <c r="D36" s="19">
        <f t="shared" si="3"/>
        <v>0</v>
      </c>
      <c r="E36" s="19">
        <f t="shared" si="3"/>
        <v>0</v>
      </c>
      <c r="F36" s="20"/>
      <c r="G36" s="21">
        <f t="shared" si="4"/>
        <v>0</v>
      </c>
      <c r="H36" s="19"/>
      <c r="I36" s="19"/>
      <c r="J36" s="24"/>
      <c r="K36" s="18">
        <f t="shared" si="5"/>
        <v>0</v>
      </c>
      <c r="L36" s="19"/>
      <c r="M36" s="19"/>
      <c r="N36" s="23"/>
      <c r="O36" s="21"/>
      <c r="P36" s="19"/>
      <c r="Q36" s="19"/>
      <c r="R36" s="22"/>
      <c r="S36" s="21">
        <f t="shared" si="6"/>
        <v>0</v>
      </c>
      <c r="T36" s="19"/>
      <c r="U36" s="19"/>
      <c r="V36" s="24"/>
    </row>
    <row r="37" spans="1:22" x14ac:dyDescent="0.25">
      <c r="A37" s="82">
        <f t="shared" si="7"/>
        <v>29</v>
      </c>
      <c r="B37" s="17" t="s">
        <v>10</v>
      </c>
      <c r="C37" s="18">
        <f t="shared" si="3"/>
        <v>0</v>
      </c>
      <c r="D37" s="19">
        <f t="shared" si="3"/>
        <v>0</v>
      </c>
      <c r="E37" s="19">
        <f t="shared" si="3"/>
        <v>0</v>
      </c>
      <c r="F37" s="20"/>
      <c r="G37" s="21">
        <f t="shared" si="4"/>
        <v>0</v>
      </c>
      <c r="H37" s="19"/>
      <c r="I37" s="19"/>
      <c r="J37" s="24"/>
      <c r="K37" s="18">
        <f t="shared" si="5"/>
        <v>0</v>
      </c>
      <c r="L37" s="19"/>
      <c r="M37" s="19"/>
      <c r="N37" s="23"/>
      <c r="O37" s="21"/>
      <c r="P37" s="19"/>
      <c r="Q37" s="19"/>
      <c r="R37" s="22"/>
      <c r="S37" s="21">
        <f t="shared" si="6"/>
        <v>0</v>
      </c>
      <c r="T37" s="19"/>
      <c r="U37" s="19"/>
      <c r="V37" s="24"/>
    </row>
    <row r="38" spans="1:22" x14ac:dyDescent="0.25">
      <c r="A38" s="82">
        <f t="shared" si="7"/>
        <v>30</v>
      </c>
      <c r="B38" s="17" t="s">
        <v>11</v>
      </c>
      <c r="C38" s="18">
        <f t="shared" si="3"/>
        <v>0</v>
      </c>
      <c r="D38" s="19">
        <f t="shared" si="3"/>
        <v>0</v>
      </c>
      <c r="E38" s="19">
        <f t="shared" si="3"/>
        <v>0</v>
      </c>
      <c r="F38" s="20"/>
      <c r="G38" s="21">
        <f t="shared" si="4"/>
        <v>0</v>
      </c>
      <c r="H38" s="19"/>
      <c r="I38" s="19"/>
      <c r="J38" s="24"/>
      <c r="K38" s="18">
        <f t="shared" si="5"/>
        <v>0</v>
      </c>
      <c r="L38" s="19"/>
      <c r="M38" s="19"/>
      <c r="N38" s="23"/>
      <c r="O38" s="21"/>
      <c r="P38" s="19"/>
      <c r="Q38" s="19"/>
      <c r="R38" s="22"/>
      <c r="S38" s="21">
        <f t="shared" si="6"/>
        <v>0</v>
      </c>
      <c r="T38" s="19"/>
      <c r="U38" s="19"/>
      <c r="V38" s="24"/>
    </row>
    <row r="39" spans="1:22" x14ac:dyDescent="0.25">
      <c r="A39" s="82">
        <f t="shared" si="7"/>
        <v>31</v>
      </c>
      <c r="B39" s="17" t="s">
        <v>12</v>
      </c>
      <c r="C39" s="18">
        <f t="shared" si="3"/>
        <v>0</v>
      </c>
      <c r="D39" s="19">
        <f t="shared" si="3"/>
        <v>0</v>
      </c>
      <c r="E39" s="19">
        <f t="shared" si="3"/>
        <v>0</v>
      </c>
      <c r="F39" s="20"/>
      <c r="G39" s="21">
        <f t="shared" si="4"/>
        <v>0</v>
      </c>
      <c r="H39" s="19"/>
      <c r="I39" s="19"/>
      <c r="J39" s="22"/>
      <c r="K39" s="18">
        <f t="shared" si="5"/>
        <v>0</v>
      </c>
      <c r="L39" s="19"/>
      <c r="M39" s="19"/>
      <c r="N39" s="23"/>
      <c r="O39" s="21"/>
      <c r="P39" s="19"/>
      <c r="Q39" s="19"/>
      <c r="R39" s="22"/>
      <c r="S39" s="21">
        <f t="shared" si="6"/>
        <v>0</v>
      </c>
      <c r="T39" s="19"/>
      <c r="U39" s="19"/>
      <c r="V39" s="24"/>
    </row>
    <row r="40" spans="1:22" x14ac:dyDescent="0.25">
      <c r="A40" s="82">
        <f t="shared" si="7"/>
        <v>32</v>
      </c>
      <c r="B40" s="17" t="s">
        <v>13</v>
      </c>
      <c r="C40" s="18">
        <f t="shared" si="3"/>
        <v>0</v>
      </c>
      <c r="D40" s="19">
        <f t="shared" si="3"/>
        <v>0</v>
      </c>
      <c r="E40" s="19">
        <f t="shared" si="3"/>
        <v>0</v>
      </c>
      <c r="F40" s="20"/>
      <c r="G40" s="21">
        <f t="shared" si="4"/>
        <v>0</v>
      </c>
      <c r="H40" s="19"/>
      <c r="I40" s="19"/>
      <c r="J40" s="24"/>
      <c r="K40" s="18">
        <f t="shared" si="5"/>
        <v>0</v>
      </c>
      <c r="L40" s="19"/>
      <c r="M40" s="19"/>
      <c r="N40" s="23"/>
      <c r="O40" s="21"/>
      <c r="P40" s="19"/>
      <c r="Q40" s="19"/>
      <c r="R40" s="22"/>
      <c r="S40" s="21">
        <f t="shared" si="6"/>
        <v>0</v>
      </c>
      <c r="T40" s="19"/>
      <c r="U40" s="19"/>
      <c r="V40" s="24"/>
    </row>
    <row r="41" spans="1:22" x14ac:dyDescent="0.25">
      <c r="A41" s="82">
        <f t="shared" si="7"/>
        <v>33</v>
      </c>
      <c r="B41" s="17" t="s">
        <v>14</v>
      </c>
      <c r="C41" s="18">
        <f t="shared" si="3"/>
        <v>0</v>
      </c>
      <c r="D41" s="19">
        <f t="shared" si="3"/>
        <v>0</v>
      </c>
      <c r="E41" s="19">
        <f t="shared" si="3"/>
        <v>0</v>
      </c>
      <c r="F41" s="20"/>
      <c r="G41" s="21">
        <f t="shared" si="4"/>
        <v>0</v>
      </c>
      <c r="H41" s="19"/>
      <c r="I41" s="19"/>
      <c r="J41" s="24"/>
      <c r="K41" s="18">
        <f t="shared" si="5"/>
        <v>0</v>
      </c>
      <c r="L41" s="19"/>
      <c r="M41" s="19"/>
      <c r="N41" s="23"/>
      <c r="O41" s="21"/>
      <c r="P41" s="19"/>
      <c r="Q41" s="19"/>
      <c r="R41" s="22"/>
      <c r="S41" s="21">
        <f t="shared" si="6"/>
        <v>0</v>
      </c>
      <c r="T41" s="19"/>
      <c r="U41" s="19"/>
      <c r="V41" s="24"/>
    </row>
    <row r="42" spans="1:22" x14ac:dyDescent="0.25">
      <c r="A42" s="82">
        <f t="shared" si="7"/>
        <v>34</v>
      </c>
      <c r="B42" s="17" t="s">
        <v>28</v>
      </c>
      <c r="C42" s="18">
        <f t="shared" si="3"/>
        <v>0</v>
      </c>
      <c r="D42" s="19">
        <f t="shared" si="3"/>
        <v>0</v>
      </c>
      <c r="E42" s="19">
        <f t="shared" si="3"/>
        <v>0</v>
      </c>
      <c r="F42" s="20"/>
      <c r="G42" s="21">
        <f t="shared" si="4"/>
        <v>0</v>
      </c>
      <c r="H42" s="19"/>
      <c r="I42" s="19"/>
      <c r="J42" s="22"/>
      <c r="K42" s="18">
        <f t="shared" si="5"/>
        <v>0</v>
      </c>
      <c r="L42" s="19"/>
      <c r="M42" s="19"/>
      <c r="N42" s="23"/>
      <c r="O42" s="21"/>
      <c r="P42" s="19"/>
      <c r="Q42" s="19"/>
      <c r="R42" s="22"/>
      <c r="S42" s="21">
        <f t="shared" si="6"/>
        <v>0</v>
      </c>
      <c r="T42" s="19"/>
      <c r="U42" s="19"/>
      <c r="V42" s="24"/>
    </row>
    <row r="43" spans="1:22" ht="13.8" thickBot="1" x14ac:dyDescent="0.3">
      <c r="A43" s="97">
        <f t="shared" si="7"/>
        <v>35</v>
      </c>
      <c r="B43" s="47" t="s">
        <v>16</v>
      </c>
      <c r="C43" s="35">
        <f t="shared" si="3"/>
        <v>0</v>
      </c>
      <c r="D43" s="36">
        <f t="shared" si="3"/>
        <v>0</v>
      </c>
      <c r="E43" s="36">
        <f t="shared" si="3"/>
        <v>0</v>
      </c>
      <c r="F43" s="37"/>
      <c r="G43" s="49">
        <f t="shared" si="4"/>
        <v>0</v>
      </c>
      <c r="H43" s="48"/>
      <c r="I43" s="48"/>
      <c r="J43" s="50"/>
      <c r="K43" s="35">
        <f t="shared" si="5"/>
        <v>0</v>
      </c>
      <c r="L43" s="36"/>
      <c r="M43" s="36"/>
      <c r="N43" s="40"/>
      <c r="O43" s="49"/>
      <c r="P43" s="48"/>
      <c r="Q43" s="48"/>
      <c r="R43" s="51"/>
      <c r="S43" s="49">
        <f t="shared" si="6"/>
        <v>0</v>
      </c>
      <c r="T43" s="48"/>
      <c r="U43" s="48"/>
      <c r="V43" s="50"/>
    </row>
    <row r="44" spans="1:22" ht="28.2" thickBot="1" x14ac:dyDescent="0.3">
      <c r="A44" s="62">
        <v>36</v>
      </c>
      <c r="B44" s="63" t="s">
        <v>131</v>
      </c>
      <c r="C44" s="64">
        <f t="shared" si="3"/>
        <v>12628.068999999998</v>
      </c>
      <c r="D44" s="52">
        <f t="shared" si="3"/>
        <v>12616.249999999998</v>
      </c>
      <c r="E44" s="52">
        <f t="shared" si="3"/>
        <v>8198.4619999999977</v>
      </c>
      <c r="F44" s="57">
        <f>J44+N44+R44+V44</f>
        <v>11.819000000000001</v>
      </c>
      <c r="G44" s="65">
        <f>G45+SUM(G55:G85)+SUM(G86:G98)-G90</f>
        <v>5756.8810000000003</v>
      </c>
      <c r="H44" s="52">
        <f>H45+SUM(H55:H85)+SUM(H86:H98)-H90</f>
        <v>5747.0620000000008</v>
      </c>
      <c r="I44" s="52">
        <f>I45+SUM(I55:I85)+SUM(I86:I98)-I90</f>
        <v>3573.1329999999994</v>
      </c>
      <c r="J44" s="52">
        <f>J45+SUM(J55:J85)+SUM(J86:J98)</f>
        <v>9.8190000000000008</v>
      </c>
      <c r="K44" s="56">
        <f>K45+SUM(K55:K98)</f>
        <v>239.86199999999997</v>
      </c>
      <c r="L44" s="52">
        <f>L45+SUM(L55:L98)</f>
        <v>239.86199999999997</v>
      </c>
      <c r="M44" s="52">
        <f>M45+SUM(M55:M98)</f>
        <v>82.593000000000004</v>
      </c>
      <c r="N44" s="98"/>
      <c r="O44" s="99">
        <f>O45+SUM(O55:O98)</f>
        <v>6048.3999999999978</v>
      </c>
      <c r="P44" s="44">
        <f>P45+SUM(P55:P98)</f>
        <v>6048.3999999999978</v>
      </c>
      <c r="Q44" s="44">
        <f>Q45+SUM(Q55:Q98)</f>
        <v>4518.9329999999982</v>
      </c>
      <c r="R44" s="57"/>
      <c r="S44" s="56">
        <f>S45+SUM(S55:S98)</f>
        <v>582.92600000000004</v>
      </c>
      <c r="T44" s="52">
        <f>SUM(T55:T98)</f>
        <v>580.92600000000004</v>
      </c>
      <c r="U44" s="52">
        <f>SUM(U55:U98)</f>
        <v>23.803000000000004</v>
      </c>
      <c r="V44" s="57">
        <f>SUM(V55:V98)</f>
        <v>2</v>
      </c>
    </row>
    <row r="45" spans="1:22" x14ac:dyDescent="0.25">
      <c r="A45" s="67">
        <f>+A44+1</f>
        <v>37</v>
      </c>
      <c r="B45" s="81" t="s">
        <v>132</v>
      </c>
      <c r="C45" s="76">
        <f t="shared" si="3"/>
        <v>287.67100000000005</v>
      </c>
      <c r="D45" s="74">
        <f t="shared" si="3"/>
        <v>287.67100000000005</v>
      </c>
      <c r="E45" s="74">
        <f t="shared" si="3"/>
        <v>134.84699999999998</v>
      </c>
      <c r="F45" s="100"/>
      <c r="G45" s="101">
        <f>H45+J45</f>
        <v>169.44400000000002</v>
      </c>
      <c r="H45" s="102">
        <f>SUM(H46:H54)</f>
        <v>169.44400000000002</v>
      </c>
      <c r="I45" s="102">
        <f>SUM(I46:I53)</f>
        <v>123.249</v>
      </c>
      <c r="J45" s="103"/>
      <c r="K45" s="76">
        <f>+L45</f>
        <v>103.062</v>
      </c>
      <c r="L45" s="74">
        <f>SUM(L46:L54)</f>
        <v>103.062</v>
      </c>
      <c r="M45" s="74"/>
      <c r="N45" s="104"/>
      <c r="O45" s="101">
        <f>P45+R45</f>
        <v>15.164999999999999</v>
      </c>
      <c r="P45" s="102">
        <f>SUM(P46:P53)</f>
        <v>15.164999999999999</v>
      </c>
      <c r="Q45" s="105">
        <f>SUM(Q46:Q53)</f>
        <v>11.597999999999999</v>
      </c>
      <c r="R45" s="106"/>
      <c r="S45" s="107"/>
      <c r="T45" s="108"/>
      <c r="U45" s="108"/>
      <c r="V45" s="104"/>
    </row>
    <row r="46" spans="1:22" x14ac:dyDescent="0.25">
      <c r="A46" s="82">
        <v>38</v>
      </c>
      <c r="B46" s="32" t="s">
        <v>133</v>
      </c>
      <c r="C46" s="12">
        <f>D46+F46</f>
        <v>9</v>
      </c>
      <c r="D46" s="85">
        <f>G46+K46+O46+S46</f>
        <v>9</v>
      </c>
      <c r="E46" s="85">
        <f>I46+M46+Q46+U46</f>
        <v>6.8979999999999997</v>
      </c>
      <c r="F46" s="86"/>
      <c r="G46" s="87"/>
      <c r="H46" s="85"/>
      <c r="I46" s="85"/>
      <c r="J46" s="89"/>
      <c r="K46" s="87"/>
      <c r="L46" s="85"/>
      <c r="M46" s="85"/>
      <c r="N46" s="28"/>
      <c r="O46" s="12">
        <f>P46+R46</f>
        <v>9</v>
      </c>
      <c r="P46" s="85">
        <v>9</v>
      </c>
      <c r="Q46" s="85">
        <v>6.8979999999999997</v>
      </c>
      <c r="R46" s="89"/>
      <c r="S46" s="91"/>
      <c r="T46" s="85"/>
      <c r="U46" s="85"/>
      <c r="V46" s="109"/>
    </row>
    <row r="47" spans="1:22" x14ac:dyDescent="0.25">
      <c r="A47" s="82">
        <v>39</v>
      </c>
      <c r="B47" s="32" t="s">
        <v>134</v>
      </c>
      <c r="C47" s="12">
        <f t="shared" si="3"/>
        <v>103.062</v>
      </c>
      <c r="D47" s="85">
        <f t="shared" si="3"/>
        <v>103.062</v>
      </c>
      <c r="E47" s="85"/>
      <c r="F47" s="86"/>
      <c r="G47" s="87"/>
      <c r="H47" s="85"/>
      <c r="I47" s="85"/>
      <c r="J47" s="84"/>
      <c r="K47" s="12">
        <f>+L47</f>
        <v>103.062</v>
      </c>
      <c r="L47" s="85">
        <v>103.062</v>
      </c>
      <c r="M47" s="85"/>
      <c r="N47" s="84"/>
      <c r="O47" s="12"/>
      <c r="P47" s="85"/>
      <c r="Q47" s="85"/>
      <c r="R47" s="84"/>
      <c r="S47" s="91"/>
      <c r="T47" s="85"/>
      <c r="U47" s="85"/>
      <c r="V47" s="84"/>
    </row>
    <row r="48" spans="1:22" x14ac:dyDescent="0.25">
      <c r="A48" s="82">
        <v>40</v>
      </c>
      <c r="B48" s="32" t="s">
        <v>135</v>
      </c>
      <c r="C48" s="12">
        <f t="shared" si="3"/>
        <v>0</v>
      </c>
      <c r="D48" s="85">
        <f t="shared" si="3"/>
        <v>0</v>
      </c>
      <c r="E48" s="85"/>
      <c r="F48" s="86"/>
      <c r="G48" s="87">
        <f t="shared" ref="G48:G54" si="8">H48+J48</f>
        <v>0</v>
      </c>
      <c r="H48" s="85"/>
      <c r="I48" s="85"/>
      <c r="J48" s="84"/>
      <c r="K48" s="21"/>
      <c r="L48" s="85"/>
      <c r="M48" s="85"/>
      <c r="N48" s="84"/>
      <c r="O48" s="12"/>
      <c r="P48" s="85"/>
      <c r="Q48" s="85"/>
      <c r="R48" s="84"/>
      <c r="S48" s="91"/>
      <c r="T48" s="85"/>
      <c r="U48" s="85"/>
      <c r="V48" s="84"/>
    </row>
    <row r="49" spans="1:22" x14ac:dyDescent="0.25">
      <c r="A49" s="82">
        <v>41</v>
      </c>
      <c r="B49" s="31" t="s">
        <v>136</v>
      </c>
      <c r="C49" s="12">
        <f t="shared" si="3"/>
        <v>0</v>
      </c>
      <c r="D49" s="85">
        <f t="shared" si="3"/>
        <v>0</v>
      </c>
      <c r="E49" s="85"/>
      <c r="F49" s="86"/>
      <c r="G49" s="87">
        <f t="shared" si="8"/>
        <v>0</v>
      </c>
      <c r="H49" s="85"/>
      <c r="I49" s="85"/>
      <c r="J49" s="84"/>
      <c r="K49" s="87"/>
      <c r="L49" s="85"/>
      <c r="M49" s="85"/>
      <c r="N49" s="84"/>
      <c r="O49" s="12"/>
      <c r="P49" s="85"/>
      <c r="Q49" s="85"/>
      <c r="R49" s="84"/>
      <c r="S49" s="91"/>
      <c r="T49" s="85"/>
      <c r="U49" s="85"/>
      <c r="V49" s="84"/>
    </row>
    <row r="50" spans="1:22" x14ac:dyDescent="0.25">
      <c r="A50" s="82">
        <f>+A49+1</f>
        <v>42</v>
      </c>
      <c r="B50" s="110" t="s">
        <v>137</v>
      </c>
      <c r="C50" s="12">
        <f t="shared" si="3"/>
        <v>0</v>
      </c>
      <c r="D50" s="85">
        <f t="shared" si="3"/>
        <v>0</v>
      </c>
      <c r="E50" s="85"/>
      <c r="F50" s="86"/>
      <c r="G50" s="87">
        <f t="shared" si="8"/>
        <v>0</v>
      </c>
      <c r="H50" s="85"/>
      <c r="I50" s="85"/>
      <c r="J50" s="84"/>
      <c r="K50" s="87"/>
      <c r="L50" s="85"/>
      <c r="M50" s="85"/>
      <c r="N50" s="84"/>
      <c r="O50" s="21"/>
      <c r="P50" s="85"/>
      <c r="Q50" s="85"/>
      <c r="R50" s="84"/>
      <c r="S50" s="91"/>
      <c r="T50" s="85"/>
      <c r="U50" s="85"/>
      <c r="V50" s="84"/>
    </row>
    <row r="51" spans="1:22" x14ac:dyDescent="0.25">
      <c r="A51" s="82">
        <v>43</v>
      </c>
      <c r="B51" s="32" t="s">
        <v>138</v>
      </c>
      <c r="C51" s="12">
        <f t="shared" si="3"/>
        <v>0</v>
      </c>
      <c r="D51" s="85">
        <f t="shared" si="3"/>
        <v>0</v>
      </c>
      <c r="E51" s="85"/>
      <c r="F51" s="86"/>
      <c r="G51" s="87">
        <f t="shared" si="8"/>
        <v>0</v>
      </c>
      <c r="H51" s="85"/>
      <c r="I51" s="85"/>
      <c r="J51" s="84"/>
      <c r="K51" s="87"/>
      <c r="L51" s="85"/>
      <c r="M51" s="85"/>
      <c r="N51" s="84"/>
      <c r="O51" s="21"/>
      <c r="P51" s="85"/>
      <c r="Q51" s="85"/>
      <c r="R51" s="84"/>
      <c r="S51" s="91"/>
      <c r="T51" s="85"/>
      <c r="U51" s="85"/>
      <c r="V51" s="84"/>
    </row>
    <row r="52" spans="1:22" x14ac:dyDescent="0.25">
      <c r="A52" s="82">
        <v>44</v>
      </c>
      <c r="B52" s="32" t="s">
        <v>139</v>
      </c>
      <c r="C52" s="12">
        <f t="shared" si="3"/>
        <v>155.13</v>
      </c>
      <c r="D52" s="85">
        <f t="shared" si="3"/>
        <v>155.13</v>
      </c>
      <c r="E52" s="15">
        <f>I52+M52+Q52+U52</f>
        <v>114.852</v>
      </c>
      <c r="F52" s="20"/>
      <c r="G52" s="87">
        <f t="shared" si="8"/>
        <v>148.965</v>
      </c>
      <c r="H52" s="85">
        <v>148.965</v>
      </c>
      <c r="I52" s="85">
        <v>110.152</v>
      </c>
      <c r="J52" s="84"/>
      <c r="K52" s="87"/>
      <c r="L52" s="85"/>
      <c r="M52" s="85"/>
      <c r="N52" s="84"/>
      <c r="O52" s="12">
        <f>P52+R52</f>
        <v>6.165</v>
      </c>
      <c r="P52" s="85">
        <v>6.165</v>
      </c>
      <c r="Q52" s="85">
        <v>4.7</v>
      </c>
      <c r="R52" s="84"/>
      <c r="S52" s="91"/>
      <c r="T52" s="85"/>
      <c r="U52" s="85"/>
      <c r="V52" s="84"/>
    </row>
    <row r="53" spans="1:22" x14ac:dyDescent="0.25">
      <c r="A53" s="82">
        <v>45</v>
      </c>
      <c r="B53" s="32" t="s">
        <v>140</v>
      </c>
      <c r="C53" s="12">
        <f t="shared" si="3"/>
        <v>20.478999999999999</v>
      </c>
      <c r="D53" s="85">
        <f t="shared" si="3"/>
        <v>20.478999999999999</v>
      </c>
      <c r="E53" s="15">
        <f>I53+M53+Q53+U53</f>
        <v>13.097</v>
      </c>
      <c r="F53" s="20"/>
      <c r="G53" s="87">
        <f t="shared" si="8"/>
        <v>20.478999999999999</v>
      </c>
      <c r="H53" s="85">
        <v>20.478999999999999</v>
      </c>
      <c r="I53" s="85">
        <v>13.097</v>
      </c>
      <c r="J53" s="84"/>
      <c r="K53" s="87"/>
      <c r="L53" s="85"/>
      <c r="M53" s="85"/>
      <c r="N53" s="84"/>
      <c r="O53" s="21"/>
      <c r="P53" s="85"/>
      <c r="Q53" s="85"/>
      <c r="R53" s="84"/>
      <c r="S53" s="91"/>
      <c r="T53" s="85"/>
      <c r="U53" s="85"/>
      <c r="V53" s="84"/>
    </row>
    <row r="54" spans="1:22" ht="26.4" x14ac:dyDescent="0.25">
      <c r="A54" s="82">
        <v>46</v>
      </c>
      <c r="B54" s="95" t="s">
        <v>141</v>
      </c>
      <c r="C54" s="12">
        <f t="shared" si="3"/>
        <v>0</v>
      </c>
      <c r="D54" s="85">
        <f t="shared" si="3"/>
        <v>0</v>
      </c>
      <c r="E54" s="19"/>
      <c r="F54" s="20"/>
      <c r="G54" s="87">
        <f t="shared" si="8"/>
        <v>0</v>
      </c>
      <c r="H54" s="85"/>
      <c r="I54" s="85"/>
      <c r="J54" s="84"/>
      <c r="K54" s="87"/>
      <c r="L54" s="85"/>
      <c r="M54" s="85"/>
      <c r="N54" s="84"/>
      <c r="O54" s="21"/>
      <c r="P54" s="85"/>
      <c r="Q54" s="85"/>
      <c r="R54" s="84"/>
      <c r="S54" s="91"/>
      <c r="T54" s="85"/>
      <c r="U54" s="85"/>
      <c r="V54" s="84"/>
    </row>
    <row r="55" spans="1:22" x14ac:dyDescent="0.25">
      <c r="A55" s="82">
        <v>47</v>
      </c>
      <c r="B55" s="17" t="s">
        <v>29</v>
      </c>
      <c r="C55" s="21">
        <f t="shared" ref="C55:E60" si="9">+G55+K55+O55+S55</f>
        <v>365.226</v>
      </c>
      <c r="D55" s="19">
        <f t="shared" si="9"/>
        <v>365.226</v>
      </c>
      <c r="E55" s="19">
        <f t="shared" si="9"/>
        <v>238.83999999999997</v>
      </c>
      <c r="F55" s="20"/>
      <c r="G55" s="21">
        <f t="shared" ref="G55:G60" si="10">+H55</f>
        <v>234.202</v>
      </c>
      <c r="H55" s="19">
        <v>234.202</v>
      </c>
      <c r="I55" s="25">
        <v>159.52799999999999</v>
      </c>
      <c r="J55" s="84"/>
      <c r="K55" s="87"/>
      <c r="L55" s="85"/>
      <c r="M55" s="85"/>
      <c r="N55" s="84"/>
      <c r="O55" s="21">
        <f t="shared" ref="O55:O89" si="11">+P55</f>
        <v>107.324</v>
      </c>
      <c r="P55" s="19">
        <v>107.324</v>
      </c>
      <c r="Q55" s="19">
        <v>79.311999999999998</v>
      </c>
      <c r="R55" s="22"/>
      <c r="S55" s="18">
        <f t="shared" ref="S55:S80" si="12">+T55</f>
        <v>23.7</v>
      </c>
      <c r="T55" s="19">
        <v>23.7</v>
      </c>
      <c r="U55" s="19"/>
      <c r="V55" s="22"/>
    </row>
    <row r="56" spans="1:22" x14ac:dyDescent="0.25">
      <c r="A56" s="82">
        <f t="shared" ref="A56:A62" si="13">+A55+1</f>
        <v>48</v>
      </c>
      <c r="B56" s="17" t="s">
        <v>30</v>
      </c>
      <c r="C56" s="21">
        <f t="shared" si="9"/>
        <v>615.23500000000013</v>
      </c>
      <c r="D56" s="19">
        <f t="shared" si="9"/>
        <v>615.23500000000013</v>
      </c>
      <c r="E56" s="19">
        <f t="shared" si="9"/>
        <v>395.31299999999999</v>
      </c>
      <c r="F56" s="20"/>
      <c r="G56" s="21">
        <f t="shared" si="10"/>
        <v>410.77100000000002</v>
      </c>
      <c r="H56" s="19">
        <v>410.77100000000002</v>
      </c>
      <c r="I56" s="25">
        <v>281.18</v>
      </c>
      <c r="J56" s="84"/>
      <c r="K56" s="87"/>
      <c r="L56" s="85"/>
      <c r="M56" s="85"/>
      <c r="N56" s="84"/>
      <c r="O56" s="21">
        <f t="shared" si="11"/>
        <v>154.524</v>
      </c>
      <c r="P56" s="19">
        <v>154.524</v>
      </c>
      <c r="Q56" s="19">
        <v>114.133</v>
      </c>
      <c r="R56" s="22"/>
      <c r="S56" s="18">
        <f t="shared" si="12"/>
        <v>49.94</v>
      </c>
      <c r="T56" s="19">
        <v>49.94</v>
      </c>
      <c r="U56" s="19"/>
      <c r="V56" s="22"/>
    </row>
    <row r="57" spans="1:22" x14ac:dyDescent="0.25">
      <c r="A57" s="82">
        <f t="shared" si="13"/>
        <v>49</v>
      </c>
      <c r="B57" s="17" t="s">
        <v>17</v>
      </c>
      <c r="C57" s="21">
        <f t="shared" si="9"/>
        <v>250.35600000000002</v>
      </c>
      <c r="D57" s="19">
        <f t="shared" si="9"/>
        <v>250.35600000000002</v>
      </c>
      <c r="E57" s="19">
        <f t="shared" si="9"/>
        <v>149.86500000000001</v>
      </c>
      <c r="F57" s="20"/>
      <c r="G57" s="21">
        <f t="shared" si="10"/>
        <v>161.22800000000001</v>
      </c>
      <c r="H57" s="19">
        <v>161.22800000000001</v>
      </c>
      <c r="I57" s="25">
        <v>92.748000000000005</v>
      </c>
      <c r="J57" s="84"/>
      <c r="K57" s="87"/>
      <c r="L57" s="85"/>
      <c r="M57" s="85"/>
      <c r="N57" s="84"/>
      <c r="O57" s="21">
        <f t="shared" si="11"/>
        <v>77.254000000000005</v>
      </c>
      <c r="P57" s="19">
        <v>77.254000000000005</v>
      </c>
      <c r="Q57" s="19">
        <v>57.116999999999997</v>
      </c>
      <c r="R57" s="22"/>
      <c r="S57" s="18">
        <f t="shared" si="12"/>
        <v>11.874000000000001</v>
      </c>
      <c r="T57" s="19">
        <v>11.874000000000001</v>
      </c>
      <c r="U57" s="19"/>
      <c r="V57" s="22"/>
    </row>
    <row r="58" spans="1:22" x14ac:dyDescent="0.25">
      <c r="A58" s="82">
        <f t="shared" si="13"/>
        <v>50</v>
      </c>
      <c r="B58" s="17" t="s">
        <v>91</v>
      </c>
      <c r="C58" s="21">
        <f t="shared" si="9"/>
        <v>507.96699999999998</v>
      </c>
      <c r="D58" s="19">
        <f t="shared" si="9"/>
        <v>507.96699999999998</v>
      </c>
      <c r="E58" s="19">
        <f t="shared" si="9"/>
        <v>311.05700000000002</v>
      </c>
      <c r="F58" s="20"/>
      <c r="G58" s="21">
        <f t="shared" si="10"/>
        <v>251.68199999999999</v>
      </c>
      <c r="H58" s="19">
        <v>251.68199999999999</v>
      </c>
      <c r="I58" s="19">
        <v>160.03700000000001</v>
      </c>
      <c r="J58" s="84"/>
      <c r="K58" s="87"/>
      <c r="L58" s="85"/>
      <c r="M58" s="85"/>
      <c r="N58" s="84"/>
      <c r="O58" s="21">
        <f t="shared" si="11"/>
        <v>204.285</v>
      </c>
      <c r="P58" s="19">
        <v>204.285</v>
      </c>
      <c r="Q58" s="19">
        <v>151.02000000000001</v>
      </c>
      <c r="R58" s="22"/>
      <c r="S58" s="18">
        <f t="shared" si="12"/>
        <v>52</v>
      </c>
      <c r="T58" s="19">
        <v>52</v>
      </c>
      <c r="U58" s="19"/>
      <c r="V58" s="22"/>
    </row>
    <row r="59" spans="1:22" x14ac:dyDescent="0.25">
      <c r="A59" s="82">
        <f t="shared" si="13"/>
        <v>51</v>
      </c>
      <c r="B59" s="17" t="s">
        <v>92</v>
      </c>
      <c r="C59" s="21">
        <f t="shared" si="9"/>
        <v>187.17400000000001</v>
      </c>
      <c r="D59" s="19">
        <f t="shared" si="9"/>
        <v>187.17400000000001</v>
      </c>
      <c r="E59" s="19">
        <f t="shared" si="9"/>
        <v>118.002</v>
      </c>
      <c r="F59" s="20"/>
      <c r="G59" s="21">
        <f t="shared" si="10"/>
        <v>125.989</v>
      </c>
      <c r="H59" s="19">
        <v>125.989</v>
      </c>
      <c r="I59" s="19">
        <v>80.013999999999996</v>
      </c>
      <c r="J59" s="84"/>
      <c r="K59" s="87"/>
      <c r="L59" s="85"/>
      <c r="M59" s="85"/>
      <c r="N59" s="84"/>
      <c r="O59" s="21">
        <f t="shared" si="11"/>
        <v>51.384999999999998</v>
      </c>
      <c r="P59" s="19">
        <v>51.384999999999998</v>
      </c>
      <c r="Q59" s="19">
        <v>37.988</v>
      </c>
      <c r="R59" s="22"/>
      <c r="S59" s="18">
        <f t="shared" si="12"/>
        <v>9.8000000000000007</v>
      </c>
      <c r="T59" s="19">
        <v>9.8000000000000007</v>
      </c>
      <c r="U59" s="19"/>
      <c r="V59" s="22"/>
    </row>
    <row r="60" spans="1:22" x14ac:dyDescent="0.25">
      <c r="A60" s="82">
        <f t="shared" si="13"/>
        <v>52</v>
      </c>
      <c r="B60" s="17" t="s">
        <v>93</v>
      </c>
      <c r="C60" s="21">
        <f t="shared" si="9"/>
        <v>217.50700000000001</v>
      </c>
      <c r="D60" s="19">
        <f t="shared" si="9"/>
        <v>217.50700000000001</v>
      </c>
      <c r="E60" s="19">
        <f t="shared" si="9"/>
        <v>153.99099999999999</v>
      </c>
      <c r="F60" s="20"/>
      <c r="G60" s="21">
        <f t="shared" si="10"/>
        <v>105.001</v>
      </c>
      <c r="H60" s="19">
        <v>105.001</v>
      </c>
      <c r="I60" s="19">
        <v>76.888999999999996</v>
      </c>
      <c r="J60" s="84"/>
      <c r="K60" s="87"/>
      <c r="L60" s="85"/>
      <c r="M60" s="85"/>
      <c r="N60" s="84"/>
      <c r="O60" s="21">
        <f t="shared" si="11"/>
        <v>103.206</v>
      </c>
      <c r="P60" s="19">
        <v>103.206</v>
      </c>
      <c r="Q60" s="19">
        <v>77.102000000000004</v>
      </c>
      <c r="R60" s="22"/>
      <c r="S60" s="18">
        <f t="shared" si="12"/>
        <v>9.3000000000000007</v>
      </c>
      <c r="T60" s="19">
        <v>9.3000000000000007</v>
      </c>
      <c r="U60" s="19"/>
      <c r="V60" s="22"/>
    </row>
    <row r="61" spans="1:22" x14ac:dyDescent="0.25">
      <c r="A61" s="82">
        <f t="shared" si="13"/>
        <v>53</v>
      </c>
      <c r="B61" s="46" t="s">
        <v>94</v>
      </c>
      <c r="C61" s="21">
        <f t="shared" ref="C61:E62" si="14">G61+K61+O61+S61</f>
        <v>99.957999999999998</v>
      </c>
      <c r="D61" s="19">
        <f t="shared" si="14"/>
        <v>99.957999999999998</v>
      </c>
      <c r="E61" s="19">
        <f t="shared" si="14"/>
        <v>73.231000000000009</v>
      </c>
      <c r="F61" s="20"/>
      <c r="G61" s="21">
        <f>H61+J61</f>
        <v>12.282999999999999</v>
      </c>
      <c r="H61" s="19">
        <v>12.282999999999999</v>
      </c>
      <c r="I61" s="19">
        <v>8.3070000000000004</v>
      </c>
      <c r="J61" s="84"/>
      <c r="K61" s="87"/>
      <c r="L61" s="85"/>
      <c r="M61" s="85"/>
      <c r="N61" s="84"/>
      <c r="O61" s="21">
        <f t="shared" si="11"/>
        <v>87.674999999999997</v>
      </c>
      <c r="P61" s="19">
        <v>87.674999999999997</v>
      </c>
      <c r="Q61" s="19">
        <v>64.924000000000007</v>
      </c>
      <c r="R61" s="22"/>
      <c r="S61" s="18"/>
      <c r="T61" s="19"/>
      <c r="U61" s="19"/>
      <c r="V61" s="22"/>
    </row>
    <row r="62" spans="1:22" x14ac:dyDescent="0.25">
      <c r="A62" s="82">
        <f t="shared" si="13"/>
        <v>54</v>
      </c>
      <c r="B62" s="45" t="s">
        <v>142</v>
      </c>
      <c r="C62" s="21">
        <f t="shared" si="14"/>
        <v>77.878</v>
      </c>
      <c r="D62" s="19">
        <f t="shared" si="14"/>
        <v>77.878</v>
      </c>
      <c r="E62" s="19">
        <f t="shared" si="14"/>
        <v>56.347000000000001</v>
      </c>
      <c r="F62" s="20"/>
      <c r="G62" s="21">
        <f>H62+J62</f>
        <v>38.540999999999997</v>
      </c>
      <c r="H62" s="19">
        <v>38.540999999999997</v>
      </c>
      <c r="I62" s="19">
        <v>26.817</v>
      </c>
      <c r="J62" s="22"/>
      <c r="K62" s="21"/>
      <c r="L62" s="19"/>
      <c r="M62" s="19"/>
      <c r="N62" s="22"/>
      <c r="O62" s="21">
        <f t="shared" si="11"/>
        <v>39.337000000000003</v>
      </c>
      <c r="P62" s="19">
        <v>39.337000000000003</v>
      </c>
      <c r="Q62" s="19">
        <v>29.53</v>
      </c>
      <c r="R62" s="22"/>
      <c r="S62" s="18"/>
      <c r="T62" s="19"/>
      <c r="U62" s="19"/>
      <c r="V62" s="22"/>
    </row>
    <row r="63" spans="1:22" x14ac:dyDescent="0.25">
      <c r="A63" s="82">
        <v>55</v>
      </c>
      <c r="B63" s="17" t="s">
        <v>37</v>
      </c>
      <c r="C63" s="21">
        <f t="shared" ref="C63:F73" si="15">+G63+K63+O63+S63</f>
        <v>624.67700000000002</v>
      </c>
      <c r="D63" s="19">
        <f t="shared" si="15"/>
        <v>624.67700000000002</v>
      </c>
      <c r="E63" s="19">
        <f t="shared" si="15"/>
        <v>400.18200000000002</v>
      </c>
      <c r="F63" s="20"/>
      <c r="G63" s="21">
        <f>+H63+J63</f>
        <v>389.04599999999999</v>
      </c>
      <c r="H63" s="19">
        <v>389.04599999999999</v>
      </c>
      <c r="I63" s="19">
        <v>262.05900000000003</v>
      </c>
      <c r="J63" s="22"/>
      <c r="K63" s="87"/>
      <c r="L63" s="85"/>
      <c r="M63" s="85"/>
      <c r="N63" s="84"/>
      <c r="O63" s="21">
        <f t="shared" si="11"/>
        <v>186.53100000000001</v>
      </c>
      <c r="P63" s="19">
        <v>186.53100000000001</v>
      </c>
      <c r="Q63" s="19">
        <v>138.12299999999999</v>
      </c>
      <c r="R63" s="22"/>
      <c r="S63" s="18">
        <f t="shared" si="12"/>
        <v>49.1</v>
      </c>
      <c r="T63" s="19">
        <v>49.1</v>
      </c>
      <c r="U63" s="19"/>
      <c r="V63" s="22"/>
    </row>
    <row r="64" spans="1:22" x14ac:dyDescent="0.25">
      <c r="A64" s="82">
        <f>+A63+1</f>
        <v>56</v>
      </c>
      <c r="B64" s="17" t="s">
        <v>18</v>
      </c>
      <c r="C64" s="21">
        <f t="shared" si="15"/>
        <v>603.21199999999999</v>
      </c>
      <c r="D64" s="19">
        <f t="shared" si="15"/>
        <v>603.21199999999999</v>
      </c>
      <c r="E64" s="19">
        <f t="shared" si="15"/>
        <v>415.82900000000001</v>
      </c>
      <c r="F64" s="20"/>
      <c r="G64" s="21">
        <f t="shared" ref="G64:G71" si="16">+H64</f>
        <v>157.303</v>
      </c>
      <c r="H64" s="19">
        <v>157.303</v>
      </c>
      <c r="I64" s="19">
        <v>96.394000000000005</v>
      </c>
      <c r="J64" s="22"/>
      <c r="K64" s="21"/>
      <c r="L64" s="19"/>
      <c r="M64" s="19"/>
      <c r="N64" s="22"/>
      <c r="O64" s="21">
        <f t="shared" si="11"/>
        <v>429.40899999999999</v>
      </c>
      <c r="P64" s="19">
        <v>429.40899999999999</v>
      </c>
      <c r="Q64" s="19">
        <v>319.435</v>
      </c>
      <c r="R64" s="22"/>
      <c r="S64" s="18">
        <f>+T64+V64</f>
        <v>16.5</v>
      </c>
      <c r="T64" s="19">
        <v>16.5</v>
      </c>
      <c r="U64" s="19"/>
      <c r="V64" s="22"/>
    </row>
    <row r="65" spans="1:22" x14ac:dyDescent="0.25">
      <c r="A65" s="82">
        <f>+A64+1</f>
        <v>57</v>
      </c>
      <c r="B65" s="17" t="s">
        <v>95</v>
      </c>
      <c r="C65" s="21">
        <f t="shared" si="15"/>
        <v>111.27</v>
      </c>
      <c r="D65" s="19">
        <f t="shared" si="15"/>
        <v>111.27</v>
      </c>
      <c r="E65" s="19">
        <f t="shared" si="15"/>
        <v>76.388999999999996</v>
      </c>
      <c r="F65" s="20"/>
      <c r="G65" s="21">
        <f t="shared" si="16"/>
        <v>44.99</v>
      </c>
      <c r="H65" s="19">
        <v>44.99</v>
      </c>
      <c r="I65" s="19">
        <v>32.421999999999997</v>
      </c>
      <c r="J65" s="84"/>
      <c r="K65" s="21"/>
      <c r="L65" s="85"/>
      <c r="M65" s="85"/>
      <c r="N65" s="84"/>
      <c r="O65" s="21">
        <f t="shared" si="11"/>
        <v>58.98</v>
      </c>
      <c r="P65" s="19">
        <v>58.98</v>
      </c>
      <c r="Q65" s="19">
        <v>43.966999999999999</v>
      </c>
      <c r="R65" s="22"/>
      <c r="S65" s="18">
        <f t="shared" si="12"/>
        <v>7.3</v>
      </c>
      <c r="T65" s="19">
        <v>7.3</v>
      </c>
      <c r="U65" s="19"/>
      <c r="V65" s="22"/>
    </row>
    <row r="66" spans="1:22" x14ac:dyDescent="0.25">
      <c r="A66" s="82">
        <v>58</v>
      </c>
      <c r="B66" s="17" t="s">
        <v>31</v>
      </c>
      <c r="C66" s="21">
        <f t="shared" si="15"/>
        <v>269.07600000000002</v>
      </c>
      <c r="D66" s="19">
        <f t="shared" si="15"/>
        <v>269.07600000000002</v>
      </c>
      <c r="E66" s="19">
        <f t="shared" si="15"/>
        <v>176.86699999999999</v>
      </c>
      <c r="F66" s="20"/>
      <c r="G66" s="21">
        <f t="shared" si="16"/>
        <v>150.792</v>
      </c>
      <c r="H66" s="19">
        <v>150.792</v>
      </c>
      <c r="I66" s="19">
        <v>95.168999999999997</v>
      </c>
      <c r="J66" s="84"/>
      <c r="K66" s="87"/>
      <c r="L66" s="85"/>
      <c r="M66" s="85"/>
      <c r="N66" s="84"/>
      <c r="O66" s="21">
        <f t="shared" si="11"/>
        <v>108.28400000000001</v>
      </c>
      <c r="P66" s="19">
        <v>108.28400000000001</v>
      </c>
      <c r="Q66" s="19">
        <v>81.697999999999993</v>
      </c>
      <c r="R66" s="22"/>
      <c r="S66" s="18">
        <f t="shared" si="12"/>
        <v>10</v>
      </c>
      <c r="T66" s="19">
        <v>10</v>
      </c>
      <c r="U66" s="19"/>
      <c r="V66" s="22"/>
    </row>
    <row r="67" spans="1:22" x14ac:dyDescent="0.25">
      <c r="A67" s="82">
        <f>+A66+1</f>
        <v>59</v>
      </c>
      <c r="B67" s="17" t="s">
        <v>38</v>
      </c>
      <c r="C67" s="21">
        <f t="shared" si="15"/>
        <v>225.73699999999999</v>
      </c>
      <c r="D67" s="19">
        <f t="shared" si="15"/>
        <v>222.73699999999999</v>
      </c>
      <c r="E67" s="19">
        <f t="shared" si="15"/>
        <v>164.20500000000001</v>
      </c>
      <c r="F67" s="20">
        <f t="shared" si="15"/>
        <v>3</v>
      </c>
      <c r="G67" s="21">
        <f>+H67+J67</f>
        <v>32.887</v>
      </c>
      <c r="H67" s="19">
        <v>29.887</v>
      </c>
      <c r="I67" s="19">
        <v>21.202999999999999</v>
      </c>
      <c r="J67" s="22">
        <v>3</v>
      </c>
      <c r="K67" s="87"/>
      <c r="L67" s="85"/>
      <c r="M67" s="85"/>
      <c r="N67" s="84"/>
      <c r="O67" s="21">
        <f t="shared" si="11"/>
        <v>188.85</v>
      </c>
      <c r="P67" s="19">
        <v>188.85</v>
      </c>
      <c r="Q67" s="19">
        <v>141.00200000000001</v>
      </c>
      <c r="R67" s="22"/>
      <c r="S67" s="18">
        <f t="shared" si="12"/>
        <v>4</v>
      </c>
      <c r="T67" s="19">
        <v>4</v>
      </c>
      <c r="U67" s="19">
        <v>2</v>
      </c>
      <c r="V67" s="22"/>
    </row>
    <row r="68" spans="1:22" x14ac:dyDescent="0.25">
      <c r="A68" s="82">
        <v>60</v>
      </c>
      <c r="B68" s="17" t="s">
        <v>96</v>
      </c>
      <c r="C68" s="21">
        <f t="shared" si="15"/>
        <v>10.870999999999999</v>
      </c>
      <c r="D68" s="19">
        <f t="shared" si="15"/>
        <v>10.870999999999999</v>
      </c>
      <c r="E68" s="19">
        <f t="shared" si="15"/>
        <v>7.4240000000000004</v>
      </c>
      <c r="F68" s="20"/>
      <c r="G68" s="21"/>
      <c r="H68" s="19"/>
      <c r="I68" s="19"/>
      <c r="J68" s="84"/>
      <c r="K68" s="21">
        <f>+L68</f>
        <v>0.7</v>
      </c>
      <c r="L68" s="19">
        <v>0.7</v>
      </c>
      <c r="M68" s="85"/>
      <c r="N68" s="84"/>
      <c r="O68" s="21">
        <f t="shared" si="11"/>
        <v>10.170999999999999</v>
      </c>
      <c r="P68" s="19">
        <v>10.170999999999999</v>
      </c>
      <c r="Q68" s="19">
        <v>7.4240000000000004</v>
      </c>
      <c r="R68" s="22"/>
      <c r="S68" s="18"/>
      <c r="T68" s="19"/>
      <c r="U68" s="19"/>
      <c r="V68" s="22"/>
    </row>
    <row r="69" spans="1:22" x14ac:dyDescent="0.25">
      <c r="A69" s="82">
        <v>61</v>
      </c>
      <c r="B69" s="17" t="s">
        <v>97</v>
      </c>
      <c r="C69" s="21">
        <f t="shared" si="15"/>
        <v>330.24099999999999</v>
      </c>
      <c r="D69" s="19">
        <f t="shared" si="15"/>
        <v>330.24099999999999</v>
      </c>
      <c r="E69" s="19">
        <f t="shared" si="15"/>
        <v>215.035</v>
      </c>
      <c r="F69" s="20"/>
      <c r="G69" s="21">
        <f t="shared" si="16"/>
        <v>179.85300000000001</v>
      </c>
      <c r="H69" s="19">
        <v>179.85300000000001</v>
      </c>
      <c r="I69" s="19">
        <v>112.714</v>
      </c>
      <c r="J69" s="84"/>
      <c r="K69" s="87"/>
      <c r="L69" s="85"/>
      <c r="M69" s="85"/>
      <c r="N69" s="84"/>
      <c r="O69" s="21">
        <f t="shared" si="11"/>
        <v>135.88800000000001</v>
      </c>
      <c r="P69" s="19">
        <v>135.88800000000001</v>
      </c>
      <c r="Q69" s="19">
        <v>102.321</v>
      </c>
      <c r="R69" s="22"/>
      <c r="S69" s="18">
        <f t="shared" si="12"/>
        <v>14.5</v>
      </c>
      <c r="T69" s="19">
        <v>14.5</v>
      </c>
      <c r="U69" s="19"/>
      <c r="V69" s="22"/>
    </row>
    <row r="70" spans="1:22" x14ac:dyDescent="0.25">
      <c r="A70" s="82">
        <v>62</v>
      </c>
      <c r="B70" s="17" t="s">
        <v>19</v>
      </c>
      <c r="C70" s="21">
        <f t="shared" si="15"/>
        <v>1724.7089999999998</v>
      </c>
      <c r="D70" s="19">
        <f t="shared" si="15"/>
        <v>1723.7089999999998</v>
      </c>
      <c r="E70" s="19">
        <f t="shared" si="15"/>
        <v>1117.961</v>
      </c>
      <c r="F70" s="20">
        <f t="shared" si="15"/>
        <v>1</v>
      </c>
      <c r="G70" s="21">
        <f t="shared" si="16"/>
        <v>657.93399999999997</v>
      </c>
      <c r="H70" s="19">
        <v>657.93399999999997</v>
      </c>
      <c r="I70" s="19">
        <v>375.584</v>
      </c>
      <c r="J70" s="84"/>
      <c r="K70" s="87"/>
      <c r="L70" s="85"/>
      <c r="M70" s="85"/>
      <c r="N70" s="84"/>
      <c r="O70" s="21">
        <f>P70+R70</f>
        <v>991.77499999999998</v>
      </c>
      <c r="P70" s="19">
        <v>991.77499999999998</v>
      </c>
      <c r="Q70" s="19">
        <v>742.37699999999995</v>
      </c>
      <c r="R70" s="22"/>
      <c r="S70" s="18">
        <f>+T70+V70</f>
        <v>75</v>
      </c>
      <c r="T70" s="19">
        <v>74</v>
      </c>
      <c r="U70" s="19"/>
      <c r="V70" s="22">
        <v>1</v>
      </c>
    </row>
    <row r="71" spans="1:22" x14ac:dyDescent="0.25">
      <c r="A71" s="82">
        <v>63</v>
      </c>
      <c r="B71" s="17" t="s">
        <v>143</v>
      </c>
      <c r="C71" s="21">
        <f t="shared" si="15"/>
        <v>100.68600000000001</v>
      </c>
      <c r="D71" s="19">
        <f t="shared" si="15"/>
        <v>99.686000000000007</v>
      </c>
      <c r="E71" s="19">
        <f t="shared" si="15"/>
        <v>55.722000000000001</v>
      </c>
      <c r="F71" s="20">
        <f t="shared" si="15"/>
        <v>1</v>
      </c>
      <c r="G71" s="21">
        <f t="shared" si="16"/>
        <v>90.686000000000007</v>
      </c>
      <c r="H71" s="19">
        <v>90.686000000000007</v>
      </c>
      <c r="I71" s="19">
        <v>55.722000000000001</v>
      </c>
      <c r="J71" s="22"/>
      <c r="K71" s="21"/>
      <c r="L71" s="19"/>
      <c r="M71" s="19"/>
      <c r="N71" s="22"/>
      <c r="O71" s="21"/>
      <c r="P71" s="19"/>
      <c r="Q71" s="19"/>
      <c r="R71" s="22"/>
      <c r="S71" s="18">
        <f>+T71+V71</f>
        <v>10</v>
      </c>
      <c r="T71" s="19">
        <v>9</v>
      </c>
      <c r="U71" s="19"/>
      <c r="V71" s="22">
        <v>1</v>
      </c>
    </row>
    <row r="72" spans="1:22" x14ac:dyDescent="0.25">
      <c r="A72" s="82">
        <v>64</v>
      </c>
      <c r="B72" s="17" t="s">
        <v>98</v>
      </c>
      <c r="C72" s="21">
        <f t="shared" si="15"/>
        <v>1181.079</v>
      </c>
      <c r="D72" s="19">
        <f t="shared" si="15"/>
        <v>1175.3890000000001</v>
      </c>
      <c r="E72" s="19">
        <f t="shared" si="15"/>
        <v>807.976</v>
      </c>
      <c r="F72" s="19">
        <f t="shared" si="15"/>
        <v>5.69</v>
      </c>
      <c r="G72" s="21">
        <f>+H72+J72</f>
        <v>302.45499999999998</v>
      </c>
      <c r="H72" s="19">
        <v>296.76499999999999</v>
      </c>
      <c r="I72" s="19">
        <v>183.374</v>
      </c>
      <c r="J72" s="22">
        <v>5.69</v>
      </c>
      <c r="K72" s="87"/>
      <c r="L72" s="85"/>
      <c r="M72" s="85"/>
      <c r="N72" s="84"/>
      <c r="O72" s="21">
        <f>P72+R72</f>
        <v>839.62400000000002</v>
      </c>
      <c r="P72" s="19">
        <v>839.62400000000002</v>
      </c>
      <c r="Q72" s="19">
        <v>624.60199999999998</v>
      </c>
      <c r="R72" s="22"/>
      <c r="S72" s="18">
        <f t="shared" si="12"/>
        <v>39</v>
      </c>
      <c r="T72" s="19">
        <v>39</v>
      </c>
      <c r="U72" s="19"/>
      <c r="V72" s="22"/>
    </row>
    <row r="73" spans="1:22" x14ac:dyDescent="0.25">
      <c r="A73" s="82">
        <f>+A72+1</f>
        <v>65</v>
      </c>
      <c r="B73" s="17" t="s">
        <v>20</v>
      </c>
      <c r="C73" s="21">
        <f t="shared" si="15"/>
        <v>744.85</v>
      </c>
      <c r="D73" s="19">
        <f t="shared" si="15"/>
        <v>744.85</v>
      </c>
      <c r="E73" s="19">
        <f t="shared" si="15"/>
        <v>480.98</v>
      </c>
      <c r="F73" s="19"/>
      <c r="G73" s="21">
        <f>+H73+J73</f>
        <v>276.029</v>
      </c>
      <c r="H73" s="19">
        <v>276.029</v>
      </c>
      <c r="I73" s="19">
        <v>141.018</v>
      </c>
      <c r="J73" s="22"/>
      <c r="K73" s="87"/>
      <c r="L73" s="85"/>
      <c r="M73" s="85"/>
      <c r="N73" s="84"/>
      <c r="O73" s="21">
        <f t="shared" si="11"/>
        <v>453.82100000000003</v>
      </c>
      <c r="P73" s="19">
        <v>453.82100000000003</v>
      </c>
      <c r="Q73" s="19">
        <v>339.96199999999999</v>
      </c>
      <c r="R73" s="22"/>
      <c r="S73" s="18">
        <f t="shared" si="12"/>
        <v>15</v>
      </c>
      <c r="T73" s="19">
        <v>15</v>
      </c>
      <c r="U73" s="19"/>
      <c r="V73" s="22"/>
    </row>
    <row r="74" spans="1:22" x14ac:dyDescent="0.25">
      <c r="A74" s="82">
        <f>+A73+1</f>
        <v>66</v>
      </c>
      <c r="B74" s="46" t="s">
        <v>144</v>
      </c>
      <c r="C74" s="21">
        <f t="shared" ref="C74:E75" si="17">G74+K74+O74+S74</f>
        <v>37.659999999999997</v>
      </c>
      <c r="D74" s="19">
        <f t="shared" si="17"/>
        <v>37.659999999999997</v>
      </c>
      <c r="E74" s="19">
        <f t="shared" si="17"/>
        <v>26.902999999999999</v>
      </c>
      <c r="F74" s="20"/>
      <c r="G74" s="21">
        <f>H74+J74</f>
        <v>33.159999999999997</v>
      </c>
      <c r="H74" s="19">
        <v>33.159999999999997</v>
      </c>
      <c r="I74" s="19">
        <v>24.834</v>
      </c>
      <c r="J74" s="22"/>
      <c r="K74" s="21"/>
      <c r="L74" s="19"/>
      <c r="M74" s="19"/>
      <c r="N74" s="22"/>
      <c r="O74" s="21"/>
      <c r="P74" s="19"/>
      <c r="Q74" s="19"/>
      <c r="R74" s="22"/>
      <c r="S74" s="18">
        <f t="shared" si="12"/>
        <v>4.5</v>
      </c>
      <c r="T74" s="19">
        <v>4.5</v>
      </c>
      <c r="U74" s="19">
        <v>2.069</v>
      </c>
      <c r="V74" s="22"/>
    </row>
    <row r="75" spans="1:22" x14ac:dyDescent="0.25">
      <c r="A75" s="82">
        <f>+A74+1</f>
        <v>67</v>
      </c>
      <c r="B75" s="17" t="s">
        <v>100</v>
      </c>
      <c r="C75" s="21">
        <f t="shared" si="17"/>
        <v>400.32900000000001</v>
      </c>
      <c r="D75" s="19">
        <f t="shared" si="17"/>
        <v>400.32900000000001</v>
      </c>
      <c r="E75" s="19">
        <f t="shared" si="17"/>
        <v>259.84100000000001</v>
      </c>
      <c r="F75" s="20"/>
      <c r="G75" s="21">
        <f>H75+J75</f>
        <v>194.916</v>
      </c>
      <c r="H75" s="19">
        <v>194.916</v>
      </c>
      <c r="I75" s="19">
        <v>119.081</v>
      </c>
      <c r="J75" s="22"/>
      <c r="K75" s="87"/>
      <c r="L75" s="85"/>
      <c r="M75" s="85"/>
      <c r="N75" s="84"/>
      <c r="O75" s="21">
        <f t="shared" si="11"/>
        <v>187.41300000000001</v>
      </c>
      <c r="P75" s="19">
        <v>187.41300000000001</v>
      </c>
      <c r="Q75" s="19">
        <v>140.76</v>
      </c>
      <c r="R75" s="22"/>
      <c r="S75" s="18">
        <f t="shared" si="12"/>
        <v>18</v>
      </c>
      <c r="T75" s="19">
        <v>18</v>
      </c>
      <c r="U75" s="19"/>
      <c r="V75" s="22"/>
    </row>
    <row r="76" spans="1:22" x14ac:dyDescent="0.25">
      <c r="A76" s="82">
        <f>+A75+1</f>
        <v>68</v>
      </c>
      <c r="B76" s="17" t="s">
        <v>21</v>
      </c>
      <c r="C76" s="21">
        <f t="shared" ref="C76:E78" si="18">+G76+K76+O76+S76</f>
        <v>646.21299999999997</v>
      </c>
      <c r="D76" s="19">
        <f t="shared" si="18"/>
        <v>646.21299999999997</v>
      </c>
      <c r="E76" s="19">
        <f t="shared" si="18"/>
        <v>410.47200000000004</v>
      </c>
      <c r="F76" s="20"/>
      <c r="G76" s="21">
        <f>+H76</f>
        <v>251.79900000000001</v>
      </c>
      <c r="H76" s="19">
        <v>251.79900000000001</v>
      </c>
      <c r="I76" s="19">
        <v>125.61499999999999</v>
      </c>
      <c r="J76" s="84"/>
      <c r="K76" s="87"/>
      <c r="L76" s="85"/>
      <c r="M76" s="85"/>
      <c r="N76" s="84"/>
      <c r="O76" s="21">
        <f t="shared" si="11"/>
        <v>379.91399999999999</v>
      </c>
      <c r="P76" s="19">
        <v>379.91399999999999</v>
      </c>
      <c r="Q76" s="19">
        <v>284.85700000000003</v>
      </c>
      <c r="R76" s="22"/>
      <c r="S76" s="18">
        <f t="shared" si="12"/>
        <v>14.5</v>
      </c>
      <c r="T76" s="19">
        <v>14.5</v>
      </c>
      <c r="U76" s="19"/>
      <c r="V76" s="22"/>
    </row>
    <row r="77" spans="1:22" x14ac:dyDescent="0.25">
      <c r="A77" s="82">
        <f>+A76+1</f>
        <v>69</v>
      </c>
      <c r="B77" s="17" t="s">
        <v>145</v>
      </c>
      <c r="C77" s="21">
        <f t="shared" si="18"/>
        <v>154.251</v>
      </c>
      <c r="D77" s="19">
        <f t="shared" si="18"/>
        <v>154.251</v>
      </c>
      <c r="E77" s="19">
        <f t="shared" si="18"/>
        <v>87.855999999999995</v>
      </c>
      <c r="F77" s="20"/>
      <c r="G77" s="21">
        <f>+H77</f>
        <v>102.15900000000001</v>
      </c>
      <c r="H77" s="19">
        <v>102.15900000000001</v>
      </c>
      <c r="I77" s="19">
        <v>54.658000000000001</v>
      </c>
      <c r="J77" s="22"/>
      <c r="K77" s="21"/>
      <c r="L77" s="19"/>
      <c r="M77" s="19"/>
      <c r="N77" s="22"/>
      <c r="O77" s="21">
        <f t="shared" si="11"/>
        <v>44.892000000000003</v>
      </c>
      <c r="P77" s="19">
        <v>44.892000000000003</v>
      </c>
      <c r="Q77" s="19">
        <v>33.198</v>
      </c>
      <c r="R77" s="22"/>
      <c r="S77" s="18">
        <f t="shared" si="12"/>
        <v>7.2</v>
      </c>
      <c r="T77" s="19">
        <v>7.2</v>
      </c>
      <c r="U77" s="19"/>
      <c r="V77" s="22"/>
    </row>
    <row r="78" spans="1:22" x14ac:dyDescent="0.25">
      <c r="A78" s="82">
        <v>70</v>
      </c>
      <c r="B78" s="46" t="s">
        <v>146</v>
      </c>
      <c r="C78" s="21">
        <f>+G78+K78+O78+S78</f>
        <v>41.170999999999999</v>
      </c>
      <c r="D78" s="19">
        <f t="shared" si="18"/>
        <v>41.170999999999999</v>
      </c>
      <c r="E78" s="19">
        <f t="shared" si="18"/>
        <v>28.078000000000003</v>
      </c>
      <c r="F78" s="20"/>
      <c r="G78" s="21">
        <f>+H78</f>
        <v>39.658999999999999</v>
      </c>
      <c r="H78" s="19">
        <v>39.658999999999999</v>
      </c>
      <c r="I78" s="19">
        <v>27.382000000000001</v>
      </c>
      <c r="J78" s="22"/>
      <c r="K78" s="21"/>
      <c r="L78" s="19"/>
      <c r="M78" s="19"/>
      <c r="N78" s="22"/>
      <c r="O78" s="21"/>
      <c r="P78" s="19"/>
      <c r="Q78" s="19"/>
      <c r="R78" s="22"/>
      <c r="S78" s="18">
        <f t="shared" si="12"/>
        <v>1.512</v>
      </c>
      <c r="T78" s="19">
        <v>1.512</v>
      </c>
      <c r="U78" s="19">
        <v>0.69599999999999995</v>
      </c>
      <c r="V78" s="22"/>
    </row>
    <row r="79" spans="1:22" x14ac:dyDescent="0.25">
      <c r="A79" s="82">
        <f t="shared" ref="A79:A142" si="19">+A78+1</f>
        <v>71</v>
      </c>
      <c r="B79" s="17" t="s">
        <v>22</v>
      </c>
      <c r="C79" s="21">
        <f t="shared" ref="C79:F164" si="20">G79+K79+O79+S79</f>
        <v>660.67700000000002</v>
      </c>
      <c r="D79" s="19">
        <f>H79+L79+P79+T79</f>
        <v>659.548</v>
      </c>
      <c r="E79" s="19">
        <f>I79+M79+Q79+U79</f>
        <v>439.84999999999997</v>
      </c>
      <c r="F79" s="19">
        <f>+J79+N79+R79+V79</f>
        <v>1.129</v>
      </c>
      <c r="G79" s="21">
        <f>H79+J79</f>
        <v>208.93199999999999</v>
      </c>
      <c r="H79" s="19">
        <v>207.803</v>
      </c>
      <c r="I79" s="19">
        <v>118.34399999999999</v>
      </c>
      <c r="J79" s="22">
        <v>1.129</v>
      </c>
      <c r="K79" s="87"/>
      <c r="L79" s="85"/>
      <c r="M79" s="85"/>
      <c r="N79" s="84"/>
      <c r="O79" s="21">
        <f t="shared" si="11"/>
        <v>428.745</v>
      </c>
      <c r="P79" s="19">
        <v>428.745</v>
      </c>
      <c r="Q79" s="19">
        <v>321.50599999999997</v>
      </c>
      <c r="R79" s="22"/>
      <c r="S79" s="18">
        <f t="shared" si="12"/>
        <v>23</v>
      </c>
      <c r="T79" s="19">
        <v>23</v>
      </c>
      <c r="U79" s="19"/>
      <c r="V79" s="22"/>
    </row>
    <row r="80" spans="1:22" x14ac:dyDescent="0.25">
      <c r="A80" s="82">
        <f t="shared" si="19"/>
        <v>72</v>
      </c>
      <c r="B80" s="46" t="s">
        <v>147</v>
      </c>
      <c r="C80" s="21">
        <f t="shared" si="20"/>
        <v>34.462000000000003</v>
      </c>
      <c r="D80" s="19">
        <f>H80+L80+P80+T80</f>
        <v>34.462000000000003</v>
      </c>
      <c r="E80" s="19">
        <f>I80+M80+Q80+U80</f>
        <v>25.736000000000001</v>
      </c>
      <c r="F80" s="20"/>
      <c r="G80" s="21">
        <f>H80+J80</f>
        <v>32.862000000000002</v>
      </c>
      <c r="H80" s="19">
        <v>32.862000000000002</v>
      </c>
      <c r="I80" s="19">
        <v>25</v>
      </c>
      <c r="J80" s="22"/>
      <c r="K80" s="21"/>
      <c r="L80" s="19"/>
      <c r="M80" s="19"/>
      <c r="N80" s="22"/>
      <c r="O80" s="21"/>
      <c r="P80" s="19"/>
      <c r="Q80" s="19"/>
      <c r="R80" s="22"/>
      <c r="S80" s="18">
        <f t="shared" si="12"/>
        <v>1.6</v>
      </c>
      <c r="T80" s="19">
        <v>1.6</v>
      </c>
      <c r="U80" s="19">
        <v>0.73599999999999999</v>
      </c>
      <c r="V80" s="22"/>
    </row>
    <row r="81" spans="1:22" x14ac:dyDescent="0.25">
      <c r="A81" s="82">
        <f t="shared" si="19"/>
        <v>73</v>
      </c>
      <c r="B81" s="17" t="s">
        <v>103</v>
      </c>
      <c r="C81" s="21">
        <f t="shared" ref="C81:E88" si="21">+G81+K81+O81+S81</f>
        <v>778.90199999999993</v>
      </c>
      <c r="D81" s="19">
        <f t="shared" si="21"/>
        <v>778.90199999999993</v>
      </c>
      <c r="E81" s="19">
        <f t="shared" si="21"/>
        <v>465.16399999999999</v>
      </c>
      <c r="F81" s="20"/>
      <c r="G81" s="21">
        <f t="shared" ref="G81:G88" si="22">+H81</f>
        <v>341.57100000000003</v>
      </c>
      <c r="H81" s="19">
        <v>341.57100000000003</v>
      </c>
      <c r="I81" s="19">
        <v>160.738</v>
      </c>
      <c r="J81" s="84"/>
      <c r="K81" s="87"/>
      <c r="L81" s="85"/>
      <c r="M81" s="85"/>
      <c r="N81" s="84"/>
      <c r="O81" s="21">
        <f t="shared" si="11"/>
        <v>405.93099999999998</v>
      </c>
      <c r="P81" s="19">
        <v>405.93099999999998</v>
      </c>
      <c r="Q81" s="19">
        <v>304.42599999999999</v>
      </c>
      <c r="R81" s="84"/>
      <c r="S81" s="18">
        <f>+T81</f>
        <v>31.4</v>
      </c>
      <c r="T81" s="19">
        <v>31.4</v>
      </c>
      <c r="U81" s="19"/>
      <c r="V81" s="22"/>
    </row>
    <row r="82" spans="1:22" x14ac:dyDescent="0.25">
      <c r="A82" s="82">
        <f t="shared" si="19"/>
        <v>74</v>
      </c>
      <c r="B82" s="17" t="s">
        <v>34</v>
      </c>
      <c r="C82" s="21">
        <f t="shared" si="21"/>
        <v>325.79599999999994</v>
      </c>
      <c r="D82" s="19">
        <f t="shared" si="21"/>
        <v>325.79599999999994</v>
      </c>
      <c r="E82" s="19">
        <f t="shared" si="21"/>
        <v>207.63200000000001</v>
      </c>
      <c r="F82" s="20"/>
      <c r="G82" s="21">
        <f>+H82+J82</f>
        <v>16.977</v>
      </c>
      <c r="H82" s="19">
        <v>16.977</v>
      </c>
      <c r="I82" s="19"/>
      <c r="J82" s="22"/>
      <c r="K82" s="21">
        <f>L82+N82</f>
        <v>136.1</v>
      </c>
      <c r="L82" s="19">
        <v>136.1</v>
      </c>
      <c r="M82" s="19">
        <v>82.593000000000004</v>
      </c>
      <c r="N82" s="22"/>
      <c r="O82" s="21">
        <f t="shared" si="11"/>
        <v>165.31899999999999</v>
      </c>
      <c r="P82" s="19">
        <v>165.31899999999999</v>
      </c>
      <c r="Q82" s="19">
        <v>125.039</v>
      </c>
      <c r="R82" s="22"/>
      <c r="S82" s="18">
        <f>+T82</f>
        <v>7.4</v>
      </c>
      <c r="T82" s="19">
        <v>7.4</v>
      </c>
      <c r="U82" s="19"/>
      <c r="V82" s="22"/>
    </row>
    <row r="83" spans="1:22" x14ac:dyDescent="0.25">
      <c r="A83" s="82">
        <v>75</v>
      </c>
      <c r="B83" s="17" t="s">
        <v>104</v>
      </c>
      <c r="C83" s="21">
        <f t="shared" si="21"/>
        <v>406.80399999999997</v>
      </c>
      <c r="D83" s="19">
        <f t="shared" si="21"/>
        <v>406.80399999999997</v>
      </c>
      <c r="E83" s="19">
        <f t="shared" si="21"/>
        <v>294.00099999999998</v>
      </c>
      <c r="F83" s="20"/>
      <c r="G83" s="21">
        <f t="shared" si="22"/>
        <v>352.59899999999999</v>
      </c>
      <c r="H83" s="19">
        <v>352.59899999999999</v>
      </c>
      <c r="I83" s="19">
        <v>261.88499999999999</v>
      </c>
      <c r="J83" s="84"/>
      <c r="K83" s="87"/>
      <c r="L83" s="85"/>
      <c r="M83" s="85"/>
      <c r="N83" s="84"/>
      <c r="O83" s="21">
        <f t="shared" si="11"/>
        <v>25.704999999999998</v>
      </c>
      <c r="P83" s="19">
        <v>25.704999999999998</v>
      </c>
      <c r="Q83" s="19">
        <v>19.7</v>
      </c>
      <c r="R83" s="22"/>
      <c r="S83" s="18">
        <f>+T83+V83</f>
        <v>28.5</v>
      </c>
      <c r="T83" s="19">
        <v>28.5</v>
      </c>
      <c r="U83" s="19">
        <v>12.416</v>
      </c>
      <c r="V83" s="22"/>
    </row>
    <row r="84" spans="1:22" x14ac:dyDescent="0.25">
      <c r="A84" s="82">
        <f t="shared" si="19"/>
        <v>76</v>
      </c>
      <c r="B84" s="17" t="s">
        <v>32</v>
      </c>
      <c r="C84" s="21">
        <f t="shared" si="21"/>
        <v>119.569</v>
      </c>
      <c r="D84" s="19">
        <f t="shared" si="21"/>
        <v>119.569</v>
      </c>
      <c r="E84" s="19">
        <f t="shared" si="21"/>
        <v>86.772000000000006</v>
      </c>
      <c r="F84" s="20"/>
      <c r="G84" s="21">
        <f t="shared" si="22"/>
        <v>94.293999999999997</v>
      </c>
      <c r="H84" s="19">
        <v>94.293999999999997</v>
      </c>
      <c r="I84" s="19">
        <v>71.525000000000006</v>
      </c>
      <c r="J84" s="84"/>
      <c r="K84" s="87"/>
      <c r="L84" s="85"/>
      <c r="M84" s="85"/>
      <c r="N84" s="84"/>
      <c r="O84" s="21">
        <f t="shared" si="11"/>
        <v>13.775</v>
      </c>
      <c r="P84" s="19">
        <v>13.775</v>
      </c>
      <c r="Q84" s="19">
        <v>10.557</v>
      </c>
      <c r="R84" s="22"/>
      <c r="S84" s="18">
        <f t="shared" ref="S84:S89" si="23">T84+V84</f>
        <v>11.5</v>
      </c>
      <c r="T84" s="19">
        <v>11.5</v>
      </c>
      <c r="U84" s="19">
        <v>4.6900000000000004</v>
      </c>
      <c r="V84" s="22"/>
    </row>
    <row r="85" spans="1:22" x14ac:dyDescent="0.25">
      <c r="A85" s="82">
        <f t="shared" si="19"/>
        <v>77</v>
      </c>
      <c r="B85" s="46" t="s">
        <v>23</v>
      </c>
      <c r="C85" s="21">
        <f t="shared" si="21"/>
        <v>86.653000000000006</v>
      </c>
      <c r="D85" s="19">
        <f t="shared" si="21"/>
        <v>86.653000000000006</v>
      </c>
      <c r="E85" s="19">
        <f t="shared" si="21"/>
        <v>47.442</v>
      </c>
      <c r="F85" s="20"/>
      <c r="G85" s="21">
        <f t="shared" si="22"/>
        <v>65.653000000000006</v>
      </c>
      <c r="H85" s="19">
        <v>65.653000000000006</v>
      </c>
      <c r="I85" s="19">
        <v>47.442</v>
      </c>
      <c r="J85" s="84"/>
      <c r="K85" s="87"/>
      <c r="L85" s="85"/>
      <c r="M85" s="85"/>
      <c r="N85" s="84"/>
      <c r="O85" s="21"/>
      <c r="P85" s="19"/>
      <c r="Q85" s="19"/>
      <c r="R85" s="22"/>
      <c r="S85" s="18">
        <f t="shared" si="23"/>
        <v>21</v>
      </c>
      <c r="T85" s="19">
        <v>21</v>
      </c>
      <c r="U85" s="19"/>
      <c r="V85" s="22"/>
    </row>
    <row r="86" spans="1:22" x14ac:dyDescent="0.25">
      <c r="A86" s="82">
        <v>78</v>
      </c>
      <c r="B86" s="46" t="s">
        <v>148</v>
      </c>
      <c r="C86" s="21">
        <f t="shared" si="21"/>
        <v>90.528999999999996</v>
      </c>
      <c r="D86" s="19">
        <f t="shared" si="21"/>
        <v>90.528999999999996</v>
      </c>
      <c r="E86" s="19">
        <f t="shared" si="21"/>
        <v>67.105000000000004</v>
      </c>
      <c r="F86" s="20"/>
      <c r="G86" s="21">
        <f t="shared" si="22"/>
        <v>31.66</v>
      </c>
      <c r="H86" s="19">
        <v>31.66</v>
      </c>
      <c r="I86" s="19">
        <v>22.754000000000001</v>
      </c>
      <c r="J86" s="84"/>
      <c r="K86" s="87"/>
      <c r="L86" s="85"/>
      <c r="M86" s="85"/>
      <c r="N86" s="84"/>
      <c r="O86" s="21">
        <f t="shared" si="11"/>
        <v>57.869</v>
      </c>
      <c r="P86" s="19">
        <v>57.869</v>
      </c>
      <c r="Q86" s="19">
        <v>44.350999999999999</v>
      </c>
      <c r="R86" s="22"/>
      <c r="S86" s="18">
        <f t="shared" si="23"/>
        <v>1</v>
      </c>
      <c r="T86" s="19">
        <v>1</v>
      </c>
      <c r="U86" s="19"/>
      <c r="V86" s="22"/>
    </row>
    <row r="87" spans="1:22" x14ac:dyDescent="0.25">
      <c r="A87" s="82">
        <f t="shared" si="19"/>
        <v>79</v>
      </c>
      <c r="B87" s="17" t="s">
        <v>105</v>
      </c>
      <c r="C87" s="21">
        <f t="shared" si="21"/>
        <v>227.31699999999998</v>
      </c>
      <c r="D87" s="19">
        <f t="shared" si="21"/>
        <v>227.31699999999998</v>
      </c>
      <c r="E87" s="19">
        <f t="shared" si="21"/>
        <v>146.53799999999998</v>
      </c>
      <c r="F87" s="20"/>
      <c r="G87" s="21">
        <f t="shared" si="22"/>
        <v>159.31399999999999</v>
      </c>
      <c r="H87" s="19">
        <v>159.31399999999999</v>
      </c>
      <c r="I87" s="19">
        <v>103.696</v>
      </c>
      <c r="J87" s="84"/>
      <c r="K87" s="87"/>
      <c r="L87" s="85"/>
      <c r="M87" s="85"/>
      <c r="N87" s="84"/>
      <c r="O87" s="21">
        <f t="shared" si="11"/>
        <v>56.302999999999997</v>
      </c>
      <c r="P87" s="19">
        <v>56.302999999999997</v>
      </c>
      <c r="Q87" s="19">
        <v>41.646000000000001</v>
      </c>
      <c r="R87" s="22"/>
      <c r="S87" s="18">
        <f t="shared" si="23"/>
        <v>11.7</v>
      </c>
      <c r="T87" s="19">
        <v>11.7</v>
      </c>
      <c r="U87" s="19">
        <v>1.196</v>
      </c>
      <c r="V87" s="22"/>
    </row>
    <row r="88" spans="1:22" x14ac:dyDescent="0.25">
      <c r="A88" s="82">
        <v>80</v>
      </c>
      <c r="B88" s="17" t="s">
        <v>149</v>
      </c>
      <c r="C88" s="27">
        <f t="shared" si="21"/>
        <v>67.899000000000001</v>
      </c>
      <c r="D88" s="19">
        <f t="shared" si="21"/>
        <v>67.899000000000001</v>
      </c>
      <c r="E88" s="18">
        <f t="shared" si="21"/>
        <v>43.929000000000002</v>
      </c>
      <c r="F88" s="20"/>
      <c r="G88" s="21">
        <f t="shared" si="22"/>
        <v>40.21</v>
      </c>
      <c r="H88" s="19">
        <v>40.21</v>
      </c>
      <c r="I88" s="19">
        <v>25.751000000000001</v>
      </c>
      <c r="J88" s="84"/>
      <c r="K88" s="87"/>
      <c r="L88" s="85"/>
      <c r="M88" s="85"/>
      <c r="N88" s="84"/>
      <c r="O88" s="21">
        <f t="shared" si="11"/>
        <v>24.588999999999999</v>
      </c>
      <c r="P88" s="19">
        <v>24.588999999999999</v>
      </c>
      <c r="Q88" s="19">
        <v>18.178000000000001</v>
      </c>
      <c r="R88" s="22"/>
      <c r="S88" s="18">
        <f t="shared" si="23"/>
        <v>3.1</v>
      </c>
      <c r="T88" s="19">
        <v>3.1</v>
      </c>
      <c r="U88" s="19"/>
      <c r="V88" s="22"/>
    </row>
    <row r="89" spans="1:22" x14ac:dyDescent="0.25">
      <c r="A89" s="82">
        <v>81</v>
      </c>
      <c r="B89" s="46" t="s">
        <v>5</v>
      </c>
      <c r="C89" s="21">
        <f t="shared" si="20"/>
        <v>14.457000000000001</v>
      </c>
      <c r="D89" s="19">
        <f t="shared" si="20"/>
        <v>14.457000000000001</v>
      </c>
      <c r="E89" s="19">
        <f t="shared" si="20"/>
        <v>11.08</v>
      </c>
      <c r="F89" s="20">
        <f>+J89+N89+R89+V89</f>
        <v>0</v>
      </c>
      <c r="G89" s="21">
        <f t="shared" ref="G89:G171" si="24">H89+J89</f>
        <v>0</v>
      </c>
      <c r="H89" s="19"/>
      <c r="I89" s="19"/>
      <c r="J89" s="22"/>
      <c r="K89" s="87"/>
      <c r="L89" s="85"/>
      <c r="M89" s="85"/>
      <c r="N89" s="84"/>
      <c r="O89" s="21">
        <f t="shared" si="11"/>
        <v>14.457000000000001</v>
      </c>
      <c r="P89" s="19">
        <v>14.457000000000001</v>
      </c>
      <c r="Q89" s="19">
        <v>11.08</v>
      </c>
      <c r="R89" s="22"/>
      <c r="S89" s="18">
        <f t="shared" si="23"/>
        <v>0</v>
      </c>
      <c r="T89" s="19"/>
      <c r="U89" s="19"/>
      <c r="V89" s="22"/>
    </row>
    <row r="90" spans="1:22" x14ac:dyDescent="0.25">
      <c r="A90" s="82">
        <v>82</v>
      </c>
      <c r="B90" s="31" t="s">
        <v>150</v>
      </c>
      <c r="C90" s="12">
        <f t="shared" si="20"/>
        <v>0</v>
      </c>
      <c r="D90" s="15">
        <f t="shared" si="20"/>
        <v>0</v>
      </c>
      <c r="E90" s="15"/>
      <c r="F90" s="20"/>
      <c r="G90" s="12">
        <f t="shared" si="24"/>
        <v>0</v>
      </c>
      <c r="H90" s="15"/>
      <c r="I90" s="19"/>
      <c r="J90" s="22"/>
      <c r="K90" s="87"/>
      <c r="L90" s="85"/>
      <c r="M90" s="85"/>
      <c r="N90" s="84"/>
      <c r="O90" s="21"/>
      <c r="P90" s="19"/>
      <c r="Q90" s="19"/>
      <c r="R90" s="22"/>
      <c r="S90" s="18"/>
      <c r="T90" s="19"/>
      <c r="U90" s="19"/>
      <c r="V90" s="22"/>
    </row>
    <row r="91" spans="1:22" x14ac:dyDescent="0.25">
      <c r="A91" s="82">
        <v>83</v>
      </c>
      <c r="B91" s="17" t="s">
        <v>7</v>
      </c>
      <c r="C91" s="21">
        <f t="shared" si="20"/>
        <v>0</v>
      </c>
      <c r="D91" s="19">
        <f t="shared" si="20"/>
        <v>0</v>
      </c>
      <c r="E91" s="19">
        <f t="shared" si="20"/>
        <v>0</v>
      </c>
      <c r="F91" s="20"/>
      <c r="G91" s="21">
        <f t="shared" si="24"/>
        <v>0</v>
      </c>
      <c r="H91" s="19"/>
      <c r="I91" s="19"/>
      <c r="J91" s="24"/>
      <c r="K91" s="87"/>
      <c r="L91" s="85"/>
      <c r="M91" s="85"/>
      <c r="N91" s="84"/>
      <c r="O91" s="21"/>
      <c r="P91" s="19"/>
      <c r="Q91" s="19"/>
      <c r="R91" s="22"/>
      <c r="S91" s="18"/>
      <c r="T91" s="19"/>
      <c r="U91" s="19"/>
      <c r="V91" s="22"/>
    </row>
    <row r="92" spans="1:22" x14ac:dyDescent="0.25">
      <c r="A92" s="82">
        <v>84</v>
      </c>
      <c r="B92" s="17" t="s">
        <v>8</v>
      </c>
      <c r="C92" s="21">
        <f t="shared" si="20"/>
        <v>0</v>
      </c>
      <c r="D92" s="19">
        <f t="shared" si="20"/>
        <v>0</v>
      </c>
      <c r="E92" s="19">
        <f t="shared" si="20"/>
        <v>0</v>
      </c>
      <c r="F92" s="20"/>
      <c r="G92" s="21">
        <f t="shared" si="24"/>
        <v>0</v>
      </c>
      <c r="H92" s="19"/>
      <c r="I92" s="19"/>
      <c r="J92" s="24"/>
      <c r="K92" s="87"/>
      <c r="L92" s="85"/>
      <c r="M92" s="85"/>
      <c r="N92" s="84"/>
      <c r="O92" s="21"/>
      <c r="P92" s="19"/>
      <c r="Q92" s="19"/>
      <c r="R92" s="22"/>
      <c r="S92" s="18"/>
      <c r="T92" s="19"/>
      <c r="U92" s="19"/>
      <c r="V92" s="22"/>
    </row>
    <row r="93" spans="1:22" x14ac:dyDescent="0.25">
      <c r="A93" s="82">
        <v>85</v>
      </c>
      <c r="B93" s="17" t="s">
        <v>9</v>
      </c>
      <c r="C93" s="21">
        <f t="shared" si="20"/>
        <v>0</v>
      </c>
      <c r="D93" s="19">
        <f t="shared" si="20"/>
        <v>0</v>
      </c>
      <c r="E93" s="19">
        <f t="shared" si="20"/>
        <v>0</v>
      </c>
      <c r="F93" s="20"/>
      <c r="G93" s="21">
        <f t="shared" si="24"/>
        <v>0</v>
      </c>
      <c r="H93" s="19"/>
      <c r="I93" s="19"/>
      <c r="J93" s="22"/>
      <c r="K93" s="87"/>
      <c r="L93" s="85"/>
      <c r="M93" s="85"/>
      <c r="N93" s="84"/>
      <c r="O93" s="21"/>
      <c r="P93" s="19"/>
      <c r="Q93" s="19"/>
      <c r="R93" s="22"/>
      <c r="S93" s="91"/>
      <c r="T93" s="15"/>
      <c r="U93" s="15"/>
      <c r="V93" s="24"/>
    </row>
    <row r="94" spans="1:22" x14ac:dyDescent="0.25">
      <c r="A94" s="82">
        <f t="shared" si="19"/>
        <v>86</v>
      </c>
      <c r="B94" s="17" t="s">
        <v>10</v>
      </c>
      <c r="C94" s="21">
        <f t="shared" si="20"/>
        <v>0</v>
      </c>
      <c r="D94" s="19">
        <f t="shared" si="20"/>
        <v>0</v>
      </c>
      <c r="E94" s="19">
        <f t="shared" si="20"/>
        <v>0</v>
      </c>
      <c r="F94" s="20"/>
      <c r="G94" s="21">
        <f t="shared" si="24"/>
        <v>0</v>
      </c>
      <c r="H94" s="19"/>
      <c r="I94" s="19"/>
      <c r="J94" s="24"/>
      <c r="K94" s="87"/>
      <c r="L94" s="85"/>
      <c r="M94" s="85"/>
      <c r="N94" s="84"/>
      <c r="O94" s="21"/>
      <c r="P94" s="19"/>
      <c r="Q94" s="19"/>
      <c r="R94" s="22"/>
      <c r="S94" s="91"/>
      <c r="T94" s="15"/>
      <c r="U94" s="15"/>
      <c r="V94" s="24"/>
    </row>
    <row r="95" spans="1:22" x14ac:dyDescent="0.25">
      <c r="A95" s="82">
        <f t="shared" si="19"/>
        <v>87</v>
      </c>
      <c r="B95" s="17" t="s">
        <v>11</v>
      </c>
      <c r="C95" s="21">
        <f t="shared" si="20"/>
        <v>0</v>
      </c>
      <c r="D95" s="19">
        <f t="shared" si="20"/>
        <v>0</v>
      </c>
      <c r="E95" s="19">
        <f t="shared" si="20"/>
        <v>0</v>
      </c>
      <c r="F95" s="20"/>
      <c r="G95" s="21">
        <f t="shared" si="24"/>
        <v>0</v>
      </c>
      <c r="H95" s="19"/>
      <c r="I95" s="19"/>
      <c r="J95" s="24"/>
      <c r="K95" s="87"/>
      <c r="L95" s="85"/>
      <c r="M95" s="85"/>
      <c r="N95" s="84"/>
      <c r="O95" s="21"/>
      <c r="P95" s="19"/>
      <c r="Q95" s="19"/>
      <c r="R95" s="22"/>
      <c r="S95" s="91"/>
      <c r="T95" s="15"/>
      <c r="U95" s="15"/>
      <c r="V95" s="24"/>
    </row>
    <row r="96" spans="1:22" x14ac:dyDescent="0.25">
      <c r="A96" s="82">
        <f t="shared" si="19"/>
        <v>88</v>
      </c>
      <c r="B96" s="17" t="s">
        <v>12</v>
      </c>
      <c r="C96" s="21">
        <f t="shared" si="20"/>
        <v>0</v>
      </c>
      <c r="D96" s="19">
        <f t="shared" si="20"/>
        <v>0</v>
      </c>
      <c r="E96" s="19">
        <f t="shared" si="20"/>
        <v>0</v>
      </c>
      <c r="F96" s="20"/>
      <c r="G96" s="21">
        <f t="shared" si="24"/>
        <v>0</v>
      </c>
      <c r="H96" s="19"/>
      <c r="I96" s="19"/>
      <c r="J96" s="24"/>
      <c r="K96" s="87"/>
      <c r="L96" s="85"/>
      <c r="M96" s="85"/>
      <c r="N96" s="84"/>
      <c r="O96" s="21"/>
      <c r="P96" s="19"/>
      <c r="Q96" s="19"/>
      <c r="R96" s="22"/>
      <c r="S96" s="91"/>
      <c r="T96" s="15"/>
      <c r="U96" s="15"/>
      <c r="V96" s="24"/>
    </row>
    <row r="97" spans="1:22" x14ac:dyDescent="0.25">
      <c r="A97" s="82">
        <v>89</v>
      </c>
      <c r="B97" s="17" t="s">
        <v>14</v>
      </c>
      <c r="C97" s="21">
        <f>G97+K97+O97+S97</f>
        <v>0</v>
      </c>
      <c r="D97" s="19">
        <f t="shared" si="20"/>
        <v>0</v>
      </c>
      <c r="E97" s="19"/>
      <c r="F97" s="20"/>
      <c r="G97" s="21">
        <f>H97+J97</f>
        <v>0</v>
      </c>
      <c r="H97" s="19"/>
      <c r="I97" s="19"/>
      <c r="J97" s="24"/>
      <c r="K97" s="87"/>
      <c r="L97" s="85"/>
      <c r="M97" s="85"/>
      <c r="N97" s="84"/>
      <c r="O97" s="21"/>
      <c r="P97" s="19"/>
      <c r="Q97" s="19"/>
      <c r="R97" s="22"/>
      <c r="S97" s="91"/>
      <c r="T97" s="15"/>
      <c r="U97" s="15"/>
      <c r="V97" s="24"/>
    </row>
    <row r="98" spans="1:22" ht="13.8" thickBot="1" x14ac:dyDescent="0.3">
      <c r="A98" s="111">
        <f t="shared" si="19"/>
        <v>90</v>
      </c>
      <c r="B98" s="34" t="s">
        <v>28</v>
      </c>
      <c r="C98" s="38">
        <f>G98+K98+O98+S98</f>
        <v>0</v>
      </c>
      <c r="D98" s="36">
        <f t="shared" si="20"/>
        <v>0</v>
      </c>
      <c r="E98" s="36"/>
      <c r="F98" s="37"/>
      <c r="G98" s="38">
        <f>H98+J98</f>
        <v>0</v>
      </c>
      <c r="H98" s="36"/>
      <c r="I98" s="36"/>
      <c r="J98" s="43"/>
      <c r="K98" s="112"/>
      <c r="L98" s="113"/>
      <c r="M98" s="113"/>
      <c r="N98" s="114"/>
      <c r="O98" s="49"/>
      <c r="P98" s="48"/>
      <c r="Q98" s="48"/>
      <c r="R98" s="51"/>
      <c r="S98" s="115"/>
      <c r="T98" s="116"/>
      <c r="U98" s="116"/>
      <c r="V98" s="50"/>
    </row>
    <row r="99" spans="1:22" ht="42" thickBot="1" x14ac:dyDescent="0.3">
      <c r="A99" s="62">
        <f t="shared" si="19"/>
        <v>91</v>
      </c>
      <c r="B99" s="63" t="s">
        <v>151</v>
      </c>
      <c r="C99" s="117">
        <f>G99+K99+O99+S99</f>
        <v>65.314999999999998</v>
      </c>
      <c r="D99" s="118">
        <f t="shared" si="20"/>
        <v>65.314999999999998</v>
      </c>
      <c r="E99" s="52">
        <f t="shared" si="20"/>
        <v>37.926000000000002</v>
      </c>
      <c r="F99" s="57">
        <f t="shared" si="20"/>
        <v>0</v>
      </c>
      <c r="G99" s="52">
        <f>G100+G111+G114+G117+G118+SUM(G122:G133)+G135+G138+G139</f>
        <v>60.914999999999999</v>
      </c>
      <c r="H99" s="52">
        <f>H100+H111+H114+H117+H118+SUM(H122:H133)+H135+H138+H139</f>
        <v>60.914999999999999</v>
      </c>
      <c r="I99" s="52">
        <f>I100+I111+I114+SUM(I117:I133)+I135+I138+I139</f>
        <v>37.926000000000002</v>
      </c>
      <c r="J99" s="52"/>
      <c r="K99" s="119"/>
      <c r="L99" s="120"/>
      <c r="M99" s="120"/>
      <c r="N99" s="98"/>
      <c r="O99" s="119"/>
      <c r="P99" s="120"/>
      <c r="Q99" s="120"/>
      <c r="R99" s="98"/>
      <c r="S99" s="58">
        <f>S100+SUM(S111:S133)+S135+S138+S139</f>
        <v>4.4000000000000004</v>
      </c>
      <c r="T99" s="118">
        <f>SUM(T111:T139)</f>
        <v>4.4000000000000004</v>
      </c>
      <c r="U99" s="52">
        <f>SUM(U111:U138)</f>
        <v>0</v>
      </c>
      <c r="V99" s="57">
        <f>SUM(V111:V138)</f>
        <v>0</v>
      </c>
    </row>
    <row r="100" spans="1:22" ht="26.4" x14ac:dyDescent="0.25">
      <c r="A100" s="67">
        <f t="shared" si="19"/>
        <v>92</v>
      </c>
      <c r="B100" s="121" t="s">
        <v>152</v>
      </c>
      <c r="C100" s="79">
        <f t="shared" si="20"/>
        <v>0</v>
      </c>
      <c r="D100" s="74">
        <f t="shared" si="20"/>
        <v>0</v>
      </c>
      <c r="E100" s="74"/>
      <c r="F100" s="78"/>
      <c r="G100" s="122">
        <f>SUM(G101:G110)-G104-G105</f>
        <v>0</v>
      </c>
      <c r="H100" s="102">
        <f>SUM(H101:H110)-H104-H105</f>
        <v>0</v>
      </c>
      <c r="I100" s="102"/>
      <c r="J100" s="103"/>
      <c r="K100" s="123"/>
      <c r="L100" s="108"/>
      <c r="M100" s="108"/>
      <c r="N100" s="104"/>
      <c r="O100" s="123"/>
      <c r="P100" s="108"/>
      <c r="Q100" s="108"/>
      <c r="R100" s="104"/>
      <c r="S100" s="123"/>
      <c r="T100" s="108"/>
      <c r="U100" s="108"/>
      <c r="V100" s="104"/>
    </row>
    <row r="101" spans="1:22" x14ac:dyDescent="0.25">
      <c r="A101" s="82">
        <f t="shared" si="19"/>
        <v>93</v>
      </c>
      <c r="B101" s="32" t="s">
        <v>153</v>
      </c>
      <c r="C101" s="12">
        <f t="shared" si="20"/>
        <v>0</v>
      </c>
      <c r="D101" s="85">
        <f t="shared" si="20"/>
        <v>0</v>
      </c>
      <c r="E101" s="85"/>
      <c r="F101" s="86"/>
      <c r="G101" s="87">
        <f t="shared" si="24"/>
        <v>0</v>
      </c>
      <c r="H101" s="85"/>
      <c r="I101" s="85"/>
      <c r="J101" s="84"/>
      <c r="K101" s="87"/>
      <c r="L101" s="85"/>
      <c r="M101" s="85"/>
      <c r="N101" s="84"/>
      <c r="O101" s="87"/>
      <c r="P101" s="85"/>
      <c r="Q101" s="85"/>
      <c r="R101" s="84"/>
      <c r="S101" s="87"/>
      <c r="T101" s="85"/>
      <c r="U101" s="85"/>
      <c r="V101" s="84"/>
    </row>
    <row r="102" spans="1:22" x14ac:dyDescent="0.25">
      <c r="A102" s="82">
        <f t="shared" si="19"/>
        <v>94</v>
      </c>
      <c r="B102" s="32" t="s">
        <v>154</v>
      </c>
      <c r="C102" s="12">
        <f t="shared" si="20"/>
        <v>0</v>
      </c>
      <c r="D102" s="85">
        <f t="shared" si="20"/>
        <v>0</v>
      </c>
      <c r="E102" s="85"/>
      <c r="F102" s="86"/>
      <c r="G102" s="87">
        <f t="shared" si="24"/>
        <v>0</v>
      </c>
      <c r="H102" s="85"/>
      <c r="I102" s="85"/>
      <c r="J102" s="84"/>
      <c r="K102" s="87"/>
      <c r="L102" s="85"/>
      <c r="M102" s="85"/>
      <c r="N102" s="84"/>
      <c r="O102" s="87"/>
      <c r="P102" s="85"/>
      <c r="Q102" s="85"/>
      <c r="R102" s="84"/>
      <c r="S102" s="87"/>
      <c r="T102" s="85"/>
      <c r="U102" s="85"/>
      <c r="V102" s="84"/>
    </row>
    <row r="103" spans="1:22" x14ac:dyDescent="0.25">
      <c r="A103" s="82">
        <v>95</v>
      </c>
      <c r="B103" s="110" t="s">
        <v>155</v>
      </c>
      <c r="C103" s="12">
        <f t="shared" si="20"/>
        <v>0</v>
      </c>
      <c r="D103" s="85">
        <f t="shared" si="20"/>
        <v>0</v>
      </c>
      <c r="E103" s="85"/>
      <c r="F103" s="86"/>
      <c r="G103" s="87">
        <f t="shared" si="24"/>
        <v>0</v>
      </c>
      <c r="H103" s="85"/>
      <c r="I103" s="85"/>
      <c r="J103" s="84"/>
      <c r="K103" s="87"/>
      <c r="L103" s="85"/>
      <c r="M103" s="85"/>
      <c r="N103" s="84"/>
      <c r="O103" s="87"/>
      <c r="P103" s="85"/>
      <c r="Q103" s="85"/>
      <c r="R103" s="84"/>
      <c r="S103" s="87"/>
      <c r="T103" s="85"/>
      <c r="U103" s="85"/>
      <c r="V103" s="84"/>
    </row>
    <row r="104" spans="1:22" x14ac:dyDescent="0.25">
      <c r="A104" s="82">
        <f t="shared" si="19"/>
        <v>96</v>
      </c>
      <c r="B104" s="110" t="s">
        <v>156</v>
      </c>
      <c r="C104" s="12">
        <f t="shared" si="20"/>
        <v>0</v>
      </c>
      <c r="D104" s="85">
        <f t="shared" si="20"/>
        <v>0</v>
      </c>
      <c r="E104" s="85"/>
      <c r="F104" s="86"/>
      <c r="G104" s="87">
        <f t="shared" si="24"/>
        <v>0</v>
      </c>
      <c r="H104" s="85"/>
      <c r="I104" s="85"/>
      <c r="J104" s="84"/>
      <c r="K104" s="87"/>
      <c r="L104" s="85"/>
      <c r="M104" s="85"/>
      <c r="N104" s="84"/>
      <c r="O104" s="87"/>
      <c r="P104" s="85"/>
      <c r="Q104" s="85"/>
      <c r="R104" s="84"/>
      <c r="S104" s="87"/>
      <c r="T104" s="85"/>
      <c r="U104" s="85"/>
      <c r="V104" s="84"/>
    </row>
    <row r="105" spans="1:22" x14ac:dyDescent="0.25">
      <c r="A105" s="82">
        <v>97</v>
      </c>
      <c r="B105" s="110" t="s">
        <v>157</v>
      </c>
      <c r="C105" s="12">
        <f t="shared" si="20"/>
        <v>0</v>
      </c>
      <c r="D105" s="85">
        <f t="shared" si="20"/>
        <v>0</v>
      </c>
      <c r="E105" s="85"/>
      <c r="F105" s="86"/>
      <c r="G105" s="87">
        <f t="shared" si="24"/>
        <v>0</v>
      </c>
      <c r="H105" s="85"/>
      <c r="I105" s="85"/>
      <c r="J105" s="84"/>
      <c r="K105" s="87"/>
      <c r="L105" s="85"/>
      <c r="M105" s="85"/>
      <c r="N105" s="84"/>
      <c r="O105" s="87"/>
      <c r="P105" s="85"/>
      <c r="Q105" s="85"/>
      <c r="R105" s="84"/>
      <c r="S105" s="87"/>
      <c r="T105" s="85"/>
      <c r="U105" s="85"/>
      <c r="V105" s="84"/>
    </row>
    <row r="106" spans="1:22" x14ac:dyDescent="0.25">
      <c r="A106" s="82">
        <v>98</v>
      </c>
      <c r="B106" s="32" t="s">
        <v>158</v>
      </c>
      <c r="C106" s="12">
        <f t="shared" si="20"/>
        <v>0</v>
      </c>
      <c r="D106" s="85">
        <f t="shared" si="20"/>
        <v>0</v>
      </c>
      <c r="E106" s="85"/>
      <c r="F106" s="86"/>
      <c r="G106" s="87">
        <f t="shared" si="24"/>
        <v>0</v>
      </c>
      <c r="H106" s="85"/>
      <c r="I106" s="85"/>
      <c r="J106" s="84"/>
      <c r="K106" s="87"/>
      <c r="L106" s="85"/>
      <c r="M106" s="85"/>
      <c r="N106" s="84"/>
      <c r="O106" s="87"/>
      <c r="P106" s="85"/>
      <c r="Q106" s="85"/>
      <c r="R106" s="84"/>
      <c r="S106" s="87"/>
      <c r="T106" s="85"/>
      <c r="U106" s="85"/>
      <c r="V106" s="84"/>
    </row>
    <row r="107" spans="1:22" x14ac:dyDescent="0.25">
      <c r="A107" s="82">
        <v>99</v>
      </c>
      <c r="B107" s="32" t="s">
        <v>159</v>
      </c>
      <c r="C107" s="12">
        <f t="shared" si="20"/>
        <v>0</v>
      </c>
      <c r="D107" s="85">
        <f t="shared" si="20"/>
        <v>0</v>
      </c>
      <c r="E107" s="85"/>
      <c r="F107" s="86"/>
      <c r="G107" s="87">
        <f t="shared" si="24"/>
        <v>0</v>
      </c>
      <c r="H107" s="85"/>
      <c r="I107" s="85"/>
      <c r="J107" s="84"/>
      <c r="K107" s="87"/>
      <c r="L107" s="85"/>
      <c r="M107" s="85"/>
      <c r="N107" s="84"/>
      <c r="O107" s="87"/>
      <c r="P107" s="85"/>
      <c r="Q107" s="85"/>
      <c r="R107" s="84"/>
      <c r="S107" s="87"/>
      <c r="T107" s="85"/>
      <c r="U107" s="85"/>
      <c r="V107" s="84"/>
    </row>
    <row r="108" spans="1:22" x14ac:dyDescent="0.25">
      <c r="A108" s="82">
        <v>100</v>
      </c>
      <c r="B108" s="32" t="s">
        <v>160</v>
      </c>
      <c r="C108" s="12">
        <f t="shared" si="20"/>
        <v>0</v>
      </c>
      <c r="D108" s="85">
        <f t="shared" si="20"/>
        <v>0</v>
      </c>
      <c r="E108" s="85"/>
      <c r="F108" s="86"/>
      <c r="G108" s="87">
        <f t="shared" si="24"/>
        <v>0</v>
      </c>
      <c r="H108" s="85"/>
      <c r="I108" s="85"/>
      <c r="J108" s="84"/>
      <c r="K108" s="87"/>
      <c r="L108" s="85"/>
      <c r="M108" s="85"/>
      <c r="N108" s="84"/>
      <c r="O108" s="87"/>
      <c r="P108" s="85"/>
      <c r="Q108" s="85"/>
      <c r="R108" s="84"/>
      <c r="S108" s="87"/>
      <c r="T108" s="85"/>
      <c r="U108" s="85"/>
      <c r="V108" s="84"/>
    </row>
    <row r="109" spans="1:22" x14ac:dyDescent="0.25">
      <c r="A109" s="82">
        <v>101</v>
      </c>
      <c r="B109" s="32" t="s">
        <v>161</v>
      </c>
      <c r="C109" s="12">
        <f t="shared" si="20"/>
        <v>0</v>
      </c>
      <c r="D109" s="85">
        <f t="shared" si="20"/>
        <v>0</v>
      </c>
      <c r="E109" s="85"/>
      <c r="F109" s="86"/>
      <c r="G109" s="87">
        <f t="shared" si="24"/>
        <v>0</v>
      </c>
      <c r="H109" s="85"/>
      <c r="I109" s="85"/>
      <c r="J109" s="84"/>
      <c r="K109" s="87"/>
      <c r="L109" s="85"/>
      <c r="M109" s="85"/>
      <c r="N109" s="84"/>
      <c r="O109" s="87"/>
      <c r="P109" s="85"/>
      <c r="Q109" s="85"/>
      <c r="R109" s="84"/>
      <c r="S109" s="87"/>
      <c r="T109" s="85"/>
      <c r="U109" s="85"/>
      <c r="V109" s="84"/>
    </row>
    <row r="110" spans="1:22" x14ac:dyDescent="0.25">
      <c r="A110" s="82">
        <v>102</v>
      </c>
      <c r="B110" s="32" t="s">
        <v>162</v>
      </c>
      <c r="C110" s="12">
        <f t="shared" si="20"/>
        <v>0</v>
      </c>
      <c r="D110" s="85">
        <f t="shared" si="20"/>
        <v>0</v>
      </c>
      <c r="E110" s="85"/>
      <c r="F110" s="86"/>
      <c r="G110" s="87">
        <f t="shared" si="24"/>
        <v>0</v>
      </c>
      <c r="H110" s="85"/>
      <c r="I110" s="85"/>
      <c r="J110" s="84"/>
      <c r="K110" s="87"/>
      <c r="L110" s="85"/>
      <c r="M110" s="85"/>
      <c r="N110" s="84"/>
      <c r="O110" s="87"/>
      <c r="P110" s="85"/>
      <c r="Q110" s="85"/>
      <c r="R110" s="84"/>
      <c r="S110" s="87"/>
      <c r="T110" s="85"/>
      <c r="U110" s="85"/>
      <c r="V110" s="84"/>
    </row>
    <row r="111" spans="1:22" x14ac:dyDescent="0.25">
      <c r="A111" s="82">
        <v>103</v>
      </c>
      <c r="B111" s="17" t="s">
        <v>3</v>
      </c>
      <c r="C111" s="30">
        <f t="shared" si="20"/>
        <v>0</v>
      </c>
      <c r="D111" s="124">
        <f t="shared" si="20"/>
        <v>0</v>
      </c>
      <c r="E111" s="19">
        <f t="shared" si="20"/>
        <v>0</v>
      </c>
      <c r="F111" s="20">
        <f t="shared" si="20"/>
        <v>0</v>
      </c>
      <c r="G111" s="21">
        <f t="shared" si="24"/>
        <v>0</v>
      </c>
      <c r="H111" s="19"/>
      <c r="I111" s="19"/>
      <c r="J111" s="22"/>
      <c r="K111" s="87"/>
      <c r="L111" s="85"/>
      <c r="M111" s="85"/>
      <c r="N111" s="84"/>
      <c r="O111" s="87"/>
      <c r="P111" s="85"/>
      <c r="Q111" s="85"/>
      <c r="R111" s="84"/>
      <c r="S111" s="30">
        <f>T111+V111</f>
        <v>0</v>
      </c>
      <c r="T111" s="124"/>
      <c r="U111" s="19"/>
      <c r="V111" s="22"/>
    </row>
    <row r="112" spans="1:22" x14ac:dyDescent="0.25">
      <c r="A112" s="82">
        <v>104</v>
      </c>
      <c r="B112" s="32" t="s">
        <v>163</v>
      </c>
      <c r="C112" s="125">
        <f t="shared" si="20"/>
        <v>0</v>
      </c>
      <c r="D112" s="126">
        <f t="shared" si="20"/>
        <v>0</v>
      </c>
      <c r="E112" s="15"/>
      <c r="F112" s="23"/>
      <c r="G112" s="12">
        <f t="shared" si="24"/>
        <v>0</v>
      </c>
      <c r="H112" s="15"/>
      <c r="I112" s="19"/>
      <c r="J112" s="22"/>
      <c r="K112" s="87"/>
      <c r="L112" s="85"/>
      <c r="M112" s="85"/>
      <c r="N112" s="84"/>
      <c r="O112" s="87"/>
      <c r="P112" s="85"/>
      <c r="Q112" s="85"/>
      <c r="R112" s="84"/>
      <c r="S112" s="30"/>
      <c r="T112" s="124"/>
      <c r="U112" s="19"/>
      <c r="V112" s="22"/>
    </row>
    <row r="113" spans="1:22" x14ac:dyDescent="0.25">
      <c r="A113" s="82">
        <v>105</v>
      </c>
      <c r="B113" s="32" t="s">
        <v>164</v>
      </c>
      <c r="C113" s="125">
        <f t="shared" si="20"/>
        <v>0</v>
      </c>
      <c r="D113" s="126">
        <f t="shared" si="20"/>
        <v>0</v>
      </c>
      <c r="E113" s="15"/>
      <c r="F113" s="23"/>
      <c r="G113" s="12">
        <f t="shared" si="24"/>
        <v>0</v>
      </c>
      <c r="H113" s="15"/>
      <c r="I113" s="19"/>
      <c r="J113" s="22"/>
      <c r="K113" s="87"/>
      <c r="L113" s="85"/>
      <c r="M113" s="85"/>
      <c r="N113" s="84"/>
      <c r="O113" s="87"/>
      <c r="P113" s="85"/>
      <c r="Q113" s="85"/>
      <c r="R113" s="84"/>
      <c r="S113" s="30"/>
      <c r="T113" s="124"/>
      <c r="U113" s="19"/>
      <c r="V113" s="22"/>
    </row>
    <row r="114" spans="1:22" x14ac:dyDescent="0.25">
      <c r="A114" s="82">
        <v>106</v>
      </c>
      <c r="B114" s="17" t="s">
        <v>4</v>
      </c>
      <c r="C114" s="30">
        <f t="shared" si="20"/>
        <v>0</v>
      </c>
      <c r="D114" s="124">
        <f t="shared" si="20"/>
        <v>0</v>
      </c>
      <c r="E114" s="19">
        <f t="shared" si="20"/>
        <v>0</v>
      </c>
      <c r="F114" s="20">
        <f t="shared" si="20"/>
        <v>0</v>
      </c>
      <c r="G114" s="21">
        <f t="shared" si="24"/>
        <v>0</v>
      </c>
      <c r="H114" s="19"/>
      <c r="I114" s="19"/>
      <c r="J114" s="84"/>
      <c r="K114" s="87"/>
      <c r="L114" s="85"/>
      <c r="M114" s="85"/>
      <c r="N114" s="84"/>
      <c r="O114" s="87"/>
      <c r="P114" s="85"/>
      <c r="Q114" s="85"/>
      <c r="R114" s="84"/>
      <c r="S114" s="30">
        <f>T114+V114</f>
        <v>0</v>
      </c>
      <c r="T114" s="124"/>
      <c r="U114" s="19"/>
      <c r="V114" s="22"/>
    </row>
    <row r="115" spans="1:22" x14ac:dyDescent="0.25">
      <c r="A115" s="82">
        <v>107</v>
      </c>
      <c r="B115" s="127" t="s">
        <v>85</v>
      </c>
      <c r="C115" s="12">
        <f t="shared" si="20"/>
        <v>0</v>
      </c>
      <c r="D115" s="15">
        <f t="shared" si="20"/>
        <v>0</v>
      </c>
      <c r="E115" s="15"/>
      <c r="F115" s="23"/>
      <c r="G115" s="12">
        <f t="shared" si="24"/>
        <v>0</v>
      </c>
      <c r="H115" s="15"/>
      <c r="I115" s="19"/>
      <c r="J115" s="84"/>
      <c r="K115" s="87"/>
      <c r="L115" s="85"/>
      <c r="M115" s="85"/>
      <c r="N115" s="84"/>
      <c r="O115" s="87"/>
      <c r="P115" s="85"/>
      <c r="Q115" s="85"/>
      <c r="R115" s="84"/>
      <c r="S115" s="21"/>
      <c r="T115" s="19"/>
      <c r="U115" s="19"/>
      <c r="V115" s="22"/>
    </row>
    <row r="116" spans="1:22" x14ac:dyDescent="0.25">
      <c r="A116" s="82">
        <v>108</v>
      </c>
      <c r="B116" s="127" t="s">
        <v>86</v>
      </c>
      <c r="C116" s="12">
        <f t="shared" si="20"/>
        <v>0</v>
      </c>
      <c r="D116" s="15">
        <f t="shared" si="20"/>
        <v>0</v>
      </c>
      <c r="E116" s="15"/>
      <c r="F116" s="23"/>
      <c r="G116" s="12">
        <f t="shared" si="24"/>
        <v>0</v>
      </c>
      <c r="H116" s="15"/>
      <c r="I116" s="19"/>
      <c r="J116" s="84"/>
      <c r="K116" s="87"/>
      <c r="L116" s="85"/>
      <c r="M116" s="85"/>
      <c r="N116" s="84"/>
      <c r="O116" s="87"/>
      <c r="P116" s="85"/>
      <c r="Q116" s="85"/>
      <c r="R116" s="84"/>
      <c r="S116" s="21"/>
      <c r="T116" s="19"/>
      <c r="U116" s="19"/>
      <c r="V116" s="22"/>
    </row>
    <row r="117" spans="1:22" x14ac:dyDescent="0.25">
      <c r="A117" s="82">
        <v>109</v>
      </c>
      <c r="B117" s="17" t="s">
        <v>165</v>
      </c>
      <c r="C117" s="21">
        <f t="shared" si="20"/>
        <v>0</v>
      </c>
      <c r="D117" s="19">
        <f t="shared" si="20"/>
        <v>0</v>
      </c>
      <c r="E117" s="19">
        <f t="shared" si="20"/>
        <v>0</v>
      </c>
      <c r="F117" s="20"/>
      <c r="G117" s="21">
        <f t="shared" si="24"/>
        <v>0</v>
      </c>
      <c r="H117" s="19"/>
      <c r="I117" s="19"/>
      <c r="J117" s="22"/>
      <c r="K117" s="87"/>
      <c r="L117" s="85"/>
      <c r="M117" s="85"/>
      <c r="N117" s="84"/>
      <c r="O117" s="87"/>
      <c r="P117" s="85"/>
      <c r="Q117" s="85"/>
      <c r="R117" s="84"/>
      <c r="S117" s="21">
        <f>T117+V117</f>
        <v>0</v>
      </c>
      <c r="T117" s="19"/>
      <c r="U117" s="19"/>
      <c r="V117" s="22"/>
    </row>
    <row r="118" spans="1:22" x14ac:dyDescent="0.25">
      <c r="A118" s="82">
        <v>110</v>
      </c>
      <c r="B118" s="46" t="s">
        <v>5</v>
      </c>
      <c r="C118" s="21">
        <f t="shared" si="20"/>
        <v>0</v>
      </c>
      <c r="D118" s="19">
        <f t="shared" si="20"/>
        <v>0</v>
      </c>
      <c r="E118" s="19"/>
      <c r="F118" s="20"/>
      <c r="G118" s="21">
        <f t="shared" si="24"/>
        <v>0</v>
      </c>
      <c r="H118" s="19"/>
      <c r="I118" s="19"/>
      <c r="J118" s="22"/>
      <c r="K118" s="87"/>
      <c r="L118" s="85"/>
      <c r="M118" s="85"/>
      <c r="N118" s="84"/>
      <c r="O118" s="87"/>
      <c r="P118" s="85"/>
      <c r="Q118" s="85"/>
      <c r="R118" s="84"/>
      <c r="S118" s="21"/>
      <c r="T118" s="19"/>
      <c r="U118" s="19"/>
      <c r="V118" s="22"/>
    </row>
    <row r="119" spans="1:22" x14ac:dyDescent="0.25">
      <c r="A119" s="82">
        <v>111</v>
      </c>
      <c r="B119" s="128" t="s">
        <v>166</v>
      </c>
      <c r="C119" s="12">
        <f t="shared" si="20"/>
        <v>0</v>
      </c>
      <c r="D119" s="15">
        <f t="shared" si="20"/>
        <v>0</v>
      </c>
      <c r="E119" s="15"/>
      <c r="F119" s="23"/>
      <c r="G119" s="12">
        <f t="shared" si="24"/>
        <v>0</v>
      </c>
      <c r="H119" s="15"/>
      <c r="I119" s="19"/>
      <c r="J119" s="22"/>
      <c r="K119" s="87"/>
      <c r="L119" s="85"/>
      <c r="M119" s="85"/>
      <c r="N119" s="84"/>
      <c r="O119" s="87"/>
      <c r="P119" s="85"/>
      <c r="Q119" s="85"/>
      <c r="R119" s="84"/>
      <c r="S119" s="21"/>
      <c r="T119" s="19"/>
      <c r="U119" s="19"/>
      <c r="V119" s="22"/>
    </row>
    <row r="120" spans="1:22" x14ac:dyDescent="0.25">
      <c r="A120" s="82">
        <v>112</v>
      </c>
      <c r="B120" s="128" t="s">
        <v>88</v>
      </c>
      <c r="C120" s="12">
        <f t="shared" si="20"/>
        <v>0</v>
      </c>
      <c r="D120" s="15">
        <f t="shared" si="20"/>
        <v>0</v>
      </c>
      <c r="E120" s="15"/>
      <c r="F120" s="23"/>
      <c r="G120" s="12">
        <f t="shared" si="24"/>
        <v>0</v>
      </c>
      <c r="H120" s="15"/>
      <c r="I120" s="19"/>
      <c r="J120" s="22"/>
      <c r="K120" s="87"/>
      <c r="L120" s="85"/>
      <c r="M120" s="85"/>
      <c r="N120" s="84"/>
      <c r="O120" s="87"/>
      <c r="P120" s="85"/>
      <c r="Q120" s="85"/>
      <c r="R120" s="84"/>
      <c r="S120" s="21"/>
      <c r="T120" s="19"/>
      <c r="U120" s="19"/>
      <c r="V120" s="22"/>
    </row>
    <row r="121" spans="1:22" ht="26.4" x14ac:dyDescent="0.25">
      <c r="A121" s="82">
        <v>113</v>
      </c>
      <c r="B121" s="129" t="s">
        <v>89</v>
      </c>
      <c r="C121" s="12">
        <f t="shared" si="20"/>
        <v>0</v>
      </c>
      <c r="D121" s="15">
        <f t="shared" si="20"/>
        <v>0</v>
      </c>
      <c r="E121" s="15"/>
      <c r="F121" s="23"/>
      <c r="G121" s="12">
        <f t="shared" si="24"/>
        <v>0</v>
      </c>
      <c r="H121" s="15"/>
      <c r="I121" s="19"/>
      <c r="J121" s="22"/>
      <c r="K121" s="87"/>
      <c r="L121" s="85"/>
      <c r="M121" s="85"/>
      <c r="N121" s="84"/>
      <c r="O121" s="87"/>
      <c r="P121" s="85"/>
      <c r="Q121" s="85"/>
      <c r="R121" s="84"/>
      <c r="S121" s="21"/>
      <c r="T121" s="19"/>
      <c r="U121" s="19"/>
      <c r="V121" s="22"/>
    </row>
    <row r="122" spans="1:22" ht="26.4" x14ac:dyDescent="0.25">
      <c r="A122" s="82">
        <v>114</v>
      </c>
      <c r="B122" s="26" t="s">
        <v>33</v>
      </c>
      <c r="C122" s="21">
        <f t="shared" si="20"/>
        <v>0</v>
      </c>
      <c r="D122" s="19">
        <f t="shared" si="20"/>
        <v>0</v>
      </c>
      <c r="E122" s="19">
        <f t="shared" si="20"/>
        <v>0</v>
      </c>
      <c r="F122" s="20"/>
      <c r="G122" s="21">
        <f t="shared" si="24"/>
        <v>0</v>
      </c>
      <c r="H122" s="19"/>
      <c r="I122" s="19"/>
      <c r="J122" s="22"/>
      <c r="K122" s="87"/>
      <c r="L122" s="85"/>
      <c r="M122" s="85"/>
      <c r="N122" s="84"/>
      <c r="O122" s="87"/>
      <c r="P122" s="85"/>
      <c r="Q122" s="85"/>
      <c r="R122" s="84"/>
      <c r="S122" s="21">
        <f>T122+V122</f>
        <v>0</v>
      </c>
      <c r="T122" s="19"/>
      <c r="U122" s="19"/>
      <c r="V122" s="22"/>
    </row>
    <row r="123" spans="1:22" x14ac:dyDescent="0.25">
      <c r="A123" s="82">
        <v>115</v>
      </c>
      <c r="B123" s="17" t="s">
        <v>7</v>
      </c>
      <c r="C123" s="21">
        <f t="shared" si="20"/>
        <v>0</v>
      </c>
      <c r="D123" s="19">
        <f t="shared" si="20"/>
        <v>0</v>
      </c>
      <c r="E123" s="19">
        <f t="shared" si="20"/>
        <v>0</v>
      </c>
      <c r="F123" s="20"/>
      <c r="G123" s="21">
        <f t="shared" si="24"/>
        <v>0</v>
      </c>
      <c r="H123" s="19"/>
      <c r="I123" s="19"/>
      <c r="J123" s="24"/>
      <c r="K123" s="87"/>
      <c r="L123" s="85"/>
      <c r="M123" s="85"/>
      <c r="N123" s="84"/>
      <c r="O123" s="87"/>
      <c r="P123" s="85"/>
      <c r="Q123" s="85"/>
      <c r="R123" s="84"/>
      <c r="S123" s="21">
        <f t="shared" ref="S123:S131" si="25">T123+V123</f>
        <v>0</v>
      </c>
      <c r="T123" s="19"/>
      <c r="U123" s="15"/>
      <c r="V123" s="24"/>
    </row>
    <row r="124" spans="1:22" x14ac:dyDescent="0.25">
      <c r="A124" s="82">
        <f t="shared" si="19"/>
        <v>116</v>
      </c>
      <c r="B124" s="17" t="s">
        <v>8</v>
      </c>
      <c r="C124" s="21">
        <f t="shared" si="20"/>
        <v>0</v>
      </c>
      <c r="D124" s="19">
        <f t="shared" si="20"/>
        <v>0</v>
      </c>
      <c r="E124" s="19">
        <f t="shared" si="20"/>
        <v>0</v>
      </c>
      <c r="F124" s="20"/>
      <c r="G124" s="21">
        <f t="shared" si="24"/>
        <v>0</v>
      </c>
      <c r="H124" s="19"/>
      <c r="I124" s="19"/>
      <c r="J124" s="24"/>
      <c r="K124" s="87"/>
      <c r="L124" s="85"/>
      <c r="M124" s="85"/>
      <c r="N124" s="84"/>
      <c r="O124" s="87"/>
      <c r="P124" s="85"/>
      <c r="Q124" s="85"/>
      <c r="R124" s="84"/>
      <c r="S124" s="21">
        <f t="shared" si="25"/>
        <v>0</v>
      </c>
      <c r="T124" s="19"/>
      <c r="U124" s="15"/>
      <c r="V124" s="24"/>
    </row>
    <row r="125" spans="1:22" x14ac:dyDescent="0.25">
      <c r="A125" s="82">
        <f t="shared" si="19"/>
        <v>117</v>
      </c>
      <c r="B125" s="17" t="s">
        <v>9</v>
      </c>
      <c r="C125" s="21">
        <f t="shared" si="20"/>
        <v>0</v>
      </c>
      <c r="D125" s="19">
        <f t="shared" si="20"/>
        <v>0</v>
      </c>
      <c r="E125" s="19">
        <f t="shared" si="20"/>
        <v>0</v>
      </c>
      <c r="F125" s="20"/>
      <c r="G125" s="21">
        <f t="shared" si="24"/>
        <v>0</v>
      </c>
      <c r="H125" s="19"/>
      <c r="I125" s="19"/>
      <c r="J125" s="22"/>
      <c r="K125" s="87"/>
      <c r="L125" s="85"/>
      <c r="M125" s="85"/>
      <c r="N125" s="84"/>
      <c r="O125" s="87"/>
      <c r="P125" s="85"/>
      <c r="Q125" s="85"/>
      <c r="R125" s="84"/>
      <c r="S125" s="21">
        <f t="shared" si="25"/>
        <v>0</v>
      </c>
      <c r="T125" s="19"/>
      <c r="U125" s="15"/>
      <c r="V125" s="24"/>
    </row>
    <row r="126" spans="1:22" x14ac:dyDescent="0.25">
      <c r="A126" s="82">
        <f t="shared" si="19"/>
        <v>118</v>
      </c>
      <c r="B126" s="17" t="s">
        <v>10</v>
      </c>
      <c r="C126" s="21">
        <f t="shared" si="20"/>
        <v>0</v>
      </c>
      <c r="D126" s="19">
        <f t="shared" si="20"/>
        <v>0</v>
      </c>
      <c r="E126" s="19">
        <f t="shared" si="20"/>
        <v>0</v>
      </c>
      <c r="F126" s="20"/>
      <c r="G126" s="21">
        <f t="shared" si="24"/>
        <v>0</v>
      </c>
      <c r="H126" s="19"/>
      <c r="I126" s="19"/>
      <c r="J126" s="24"/>
      <c r="K126" s="87"/>
      <c r="L126" s="85"/>
      <c r="M126" s="85"/>
      <c r="N126" s="84"/>
      <c r="O126" s="87"/>
      <c r="P126" s="85"/>
      <c r="Q126" s="85"/>
      <c r="R126" s="84"/>
      <c r="S126" s="21"/>
      <c r="T126" s="19"/>
      <c r="U126" s="15"/>
      <c r="V126" s="24"/>
    </row>
    <row r="127" spans="1:22" x14ac:dyDescent="0.25">
      <c r="A127" s="82">
        <f t="shared" si="19"/>
        <v>119</v>
      </c>
      <c r="B127" s="17" t="s">
        <v>11</v>
      </c>
      <c r="C127" s="21">
        <f t="shared" si="20"/>
        <v>0</v>
      </c>
      <c r="D127" s="19">
        <f t="shared" si="20"/>
        <v>0</v>
      </c>
      <c r="E127" s="19">
        <f t="shared" si="20"/>
        <v>0</v>
      </c>
      <c r="F127" s="20"/>
      <c r="G127" s="21">
        <f t="shared" si="24"/>
        <v>0</v>
      </c>
      <c r="H127" s="19"/>
      <c r="I127" s="19"/>
      <c r="J127" s="24"/>
      <c r="K127" s="87"/>
      <c r="L127" s="85"/>
      <c r="M127" s="85"/>
      <c r="N127" s="84"/>
      <c r="O127" s="87"/>
      <c r="P127" s="85"/>
      <c r="Q127" s="85"/>
      <c r="R127" s="84"/>
      <c r="S127" s="21">
        <f t="shared" si="25"/>
        <v>0</v>
      </c>
      <c r="T127" s="19"/>
      <c r="U127" s="19"/>
      <c r="V127" s="24"/>
    </row>
    <row r="128" spans="1:22" x14ac:dyDescent="0.25">
      <c r="A128" s="82">
        <f t="shared" si="19"/>
        <v>120</v>
      </c>
      <c r="B128" s="17" t="s">
        <v>12</v>
      </c>
      <c r="C128" s="21">
        <f t="shared" si="20"/>
        <v>0</v>
      </c>
      <c r="D128" s="19">
        <f t="shared" si="20"/>
        <v>0</v>
      </c>
      <c r="E128" s="19">
        <f t="shared" si="20"/>
        <v>0</v>
      </c>
      <c r="F128" s="20"/>
      <c r="G128" s="21">
        <f t="shared" si="24"/>
        <v>0</v>
      </c>
      <c r="H128" s="19"/>
      <c r="I128" s="19"/>
      <c r="J128" s="24"/>
      <c r="K128" s="87"/>
      <c r="L128" s="85"/>
      <c r="M128" s="85"/>
      <c r="N128" s="84"/>
      <c r="O128" s="87"/>
      <c r="P128" s="85"/>
      <c r="Q128" s="85"/>
      <c r="R128" s="84"/>
      <c r="S128" s="21">
        <f t="shared" si="25"/>
        <v>0</v>
      </c>
      <c r="T128" s="19"/>
      <c r="U128" s="15"/>
      <c r="V128" s="24"/>
    </row>
    <row r="129" spans="1:22" x14ac:dyDescent="0.25">
      <c r="A129" s="82">
        <f t="shared" si="19"/>
        <v>121</v>
      </c>
      <c r="B129" s="17" t="s">
        <v>13</v>
      </c>
      <c r="C129" s="21">
        <f t="shared" si="20"/>
        <v>0</v>
      </c>
      <c r="D129" s="19">
        <f t="shared" si="20"/>
        <v>0</v>
      </c>
      <c r="E129" s="19">
        <f t="shared" si="20"/>
        <v>0</v>
      </c>
      <c r="F129" s="20"/>
      <c r="G129" s="21">
        <f t="shared" si="24"/>
        <v>0</v>
      </c>
      <c r="H129" s="19"/>
      <c r="I129" s="19"/>
      <c r="J129" s="24"/>
      <c r="K129" s="87"/>
      <c r="L129" s="85"/>
      <c r="M129" s="85"/>
      <c r="N129" s="84"/>
      <c r="O129" s="87"/>
      <c r="P129" s="85"/>
      <c r="Q129" s="85"/>
      <c r="R129" s="84"/>
      <c r="S129" s="21"/>
      <c r="T129" s="19"/>
      <c r="U129" s="15"/>
      <c r="V129" s="24"/>
    </row>
    <row r="130" spans="1:22" x14ac:dyDescent="0.25">
      <c r="A130" s="82">
        <f t="shared" si="19"/>
        <v>122</v>
      </c>
      <c r="B130" s="17" t="s">
        <v>14</v>
      </c>
      <c r="C130" s="21">
        <f t="shared" si="20"/>
        <v>0</v>
      </c>
      <c r="D130" s="19">
        <f t="shared" si="20"/>
        <v>0</v>
      </c>
      <c r="E130" s="19"/>
      <c r="F130" s="20"/>
      <c r="G130" s="21">
        <f t="shared" si="24"/>
        <v>0</v>
      </c>
      <c r="H130" s="19"/>
      <c r="I130" s="19"/>
      <c r="J130" s="24"/>
      <c r="K130" s="87"/>
      <c r="L130" s="85"/>
      <c r="M130" s="85"/>
      <c r="N130" s="84"/>
      <c r="O130" s="87"/>
      <c r="P130" s="85"/>
      <c r="Q130" s="85"/>
      <c r="R130" s="84"/>
      <c r="S130" s="21"/>
      <c r="T130" s="19"/>
      <c r="U130" s="15"/>
      <c r="V130" s="24"/>
    </row>
    <row r="131" spans="1:22" x14ac:dyDescent="0.25">
      <c r="A131" s="82">
        <f t="shared" si="19"/>
        <v>123</v>
      </c>
      <c r="B131" s="17" t="s">
        <v>28</v>
      </c>
      <c r="C131" s="21">
        <f t="shared" si="20"/>
        <v>0</v>
      </c>
      <c r="D131" s="19">
        <f t="shared" si="20"/>
        <v>0</v>
      </c>
      <c r="E131" s="19">
        <f t="shared" si="20"/>
        <v>0</v>
      </c>
      <c r="F131" s="20"/>
      <c r="G131" s="21">
        <f t="shared" si="24"/>
        <v>0</v>
      </c>
      <c r="H131" s="19"/>
      <c r="I131" s="19"/>
      <c r="J131" s="24"/>
      <c r="K131" s="87"/>
      <c r="L131" s="85"/>
      <c r="M131" s="85"/>
      <c r="N131" s="84"/>
      <c r="O131" s="87"/>
      <c r="P131" s="85"/>
      <c r="Q131" s="85"/>
      <c r="R131" s="84"/>
      <c r="S131" s="21">
        <f t="shared" si="25"/>
        <v>0</v>
      </c>
      <c r="T131" s="19"/>
      <c r="U131" s="15"/>
      <c r="V131" s="24"/>
    </row>
    <row r="132" spans="1:22" x14ac:dyDescent="0.25">
      <c r="A132" s="82">
        <f t="shared" si="19"/>
        <v>124</v>
      </c>
      <c r="B132" s="17" t="s">
        <v>16</v>
      </c>
      <c r="C132" s="21">
        <f t="shared" si="20"/>
        <v>0</v>
      </c>
      <c r="D132" s="19">
        <f t="shared" si="20"/>
        <v>0</v>
      </c>
      <c r="E132" s="19"/>
      <c r="F132" s="20"/>
      <c r="G132" s="27">
        <f t="shared" si="24"/>
        <v>0</v>
      </c>
      <c r="H132" s="19"/>
      <c r="I132" s="19"/>
      <c r="J132" s="24"/>
      <c r="K132" s="87"/>
      <c r="L132" s="85"/>
      <c r="M132" s="85"/>
      <c r="N132" s="84"/>
      <c r="O132" s="87"/>
      <c r="P132" s="85"/>
      <c r="Q132" s="85"/>
      <c r="R132" s="84"/>
      <c r="S132" s="21"/>
      <c r="T132" s="15"/>
      <c r="U132" s="15"/>
      <c r="V132" s="24"/>
    </row>
    <row r="133" spans="1:22" x14ac:dyDescent="0.25">
      <c r="A133" s="82">
        <f t="shared" si="19"/>
        <v>125</v>
      </c>
      <c r="B133" s="17" t="s">
        <v>167</v>
      </c>
      <c r="C133" s="21">
        <f t="shared" si="20"/>
        <v>0</v>
      </c>
      <c r="D133" s="19">
        <f t="shared" si="20"/>
        <v>0</v>
      </c>
      <c r="E133" s="19"/>
      <c r="F133" s="20"/>
      <c r="G133" s="27">
        <f>G134</f>
        <v>0</v>
      </c>
      <c r="H133" s="19"/>
      <c r="I133" s="19"/>
      <c r="J133" s="89"/>
      <c r="K133" s="94"/>
      <c r="L133" s="85"/>
      <c r="M133" s="85"/>
      <c r="N133" s="89"/>
      <c r="O133" s="94"/>
      <c r="P133" s="85"/>
      <c r="Q133" s="85"/>
      <c r="R133" s="89"/>
      <c r="S133" s="94"/>
      <c r="T133" s="85"/>
      <c r="U133" s="85"/>
      <c r="V133" s="89"/>
    </row>
    <row r="134" spans="1:22" x14ac:dyDescent="0.25">
      <c r="A134" s="82">
        <f t="shared" si="19"/>
        <v>126</v>
      </c>
      <c r="B134" s="17" t="s">
        <v>168</v>
      </c>
      <c r="C134" s="12">
        <f t="shared" si="20"/>
        <v>0</v>
      </c>
      <c r="D134" s="15">
        <f t="shared" si="20"/>
        <v>0</v>
      </c>
      <c r="E134" s="19"/>
      <c r="F134" s="20"/>
      <c r="G134" s="94">
        <f t="shared" si="24"/>
        <v>0</v>
      </c>
      <c r="H134" s="15"/>
      <c r="I134" s="19"/>
      <c r="J134" s="89"/>
      <c r="K134" s="94"/>
      <c r="L134" s="85"/>
      <c r="M134" s="85"/>
      <c r="N134" s="89"/>
      <c r="O134" s="94"/>
      <c r="P134" s="85"/>
      <c r="Q134" s="85"/>
      <c r="R134" s="89"/>
      <c r="S134" s="27"/>
      <c r="T134" s="19"/>
      <c r="U134" s="19"/>
      <c r="V134" s="28"/>
    </row>
    <row r="135" spans="1:22" x14ac:dyDescent="0.25">
      <c r="A135" s="82">
        <f t="shared" si="19"/>
        <v>127</v>
      </c>
      <c r="B135" s="17" t="s">
        <v>132</v>
      </c>
      <c r="C135" s="21">
        <f t="shared" si="20"/>
        <v>0</v>
      </c>
      <c r="D135" s="19">
        <f t="shared" si="20"/>
        <v>0</v>
      </c>
      <c r="E135" s="19"/>
      <c r="F135" s="20"/>
      <c r="G135" s="27">
        <f>G136+G137</f>
        <v>0</v>
      </c>
      <c r="H135" s="19"/>
      <c r="I135" s="85"/>
      <c r="J135" s="89"/>
      <c r="K135" s="94"/>
      <c r="L135" s="85"/>
      <c r="M135" s="85"/>
      <c r="N135" s="89"/>
      <c r="O135" s="94"/>
      <c r="P135" s="85"/>
      <c r="Q135" s="85"/>
      <c r="R135" s="89"/>
      <c r="S135" s="94"/>
      <c r="T135" s="85"/>
      <c r="U135" s="85"/>
      <c r="V135" s="89"/>
    </row>
    <row r="136" spans="1:22" x14ac:dyDescent="0.25">
      <c r="A136" s="82">
        <f t="shared" si="19"/>
        <v>128</v>
      </c>
      <c r="B136" s="32" t="s">
        <v>169</v>
      </c>
      <c r="C136" s="12">
        <f t="shared" si="20"/>
        <v>0</v>
      </c>
      <c r="D136" s="15">
        <f t="shared" si="20"/>
        <v>0</v>
      </c>
      <c r="E136" s="19"/>
      <c r="F136" s="20"/>
      <c r="G136" s="87">
        <f t="shared" si="24"/>
        <v>0</v>
      </c>
      <c r="H136" s="15"/>
      <c r="I136" s="19"/>
      <c r="J136" s="84"/>
      <c r="K136" s="87"/>
      <c r="L136" s="85"/>
      <c r="M136" s="85"/>
      <c r="N136" s="84"/>
      <c r="O136" s="87"/>
      <c r="P136" s="85"/>
      <c r="Q136" s="85"/>
      <c r="R136" s="84"/>
      <c r="S136" s="21"/>
      <c r="T136" s="19"/>
      <c r="U136" s="19"/>
      <c r="V136" s="22"/>
    </row>
    <row r="137" spans="1:22" x14ac:dyDescent="0.25">
      <c r="A137" s="82">
        <f t="shared" si="19"/>
        <v>129</v>
      </c>
      <c r="B137" s="130" t="s">
        <v>170</v>
      </c>
      <c r="C137" s="12">
        <f t="shared" si="20"/>
        <v>0</v>
      </c>
      <c r="D137" s="15">
        <f t="shared" si="20"/>
        <v>0</v>
      </c>
      <c r="E137" s="19"/>
      <c r="F137" s="20"/>
      <c r="G137" s="87">
        <f t="shared" si="24"/>
        <v>0</v>
      </c>
      <c r="H137" s="15"/>
      <c r="I137" s="19"/>
      <c r="J137" s="84"/>
      <c r="K137" s="87"/>
      <c r="L137" s="85"/>
      <c r="M137" s="85"/>
      <c r="N137" s="84"/>
      <c r="O137" s="87"/>
      <c r="P137" s="85"/>
      <c r="Q137" s="85"/>
      <c r="R137" s="84"/>
      <c r="S137" s="21"/>
      <c r="T137" s="19"/>
      <c r="U137" s="19"/>
      <c r="V137" s="22"/>
    </row>
    <row r="138" spans="1:22" x14ac:dyDescent="0.25">
      <c r="A138" s="82">
        <v>130</v>
      </c>
      <c r="B138" s="17" t="s">
        <v>105</v>
      </c>
      <c r="C138" s="21">
        <f>G138+K138+O138+S138</f>
        <v>37.466999999999999</v>
      </c>
      <c r="D138" s="19">
        <f>H138+L138+P138+T138</f>
        <v>37.466999999999999</v>
      </c>
      <c r="E138" s="19">
        <f t="shared" si="20"/>
        <v>18.872</v>
      </c>
      <c r="F138" s="20"/>
      <c r="G138" s="21">
        <f>+H138</f>
        <v>33.466999999999999</v>
      </c>
      <c r="H138" s="19">
        <v>33.466999999999999</v>
      </c>
      <c r="I138" s="19">
        <v>18.872</v>
      </c>
      <c r="J138" s="84"/>
      <c r="K138" s="87"/>
      <c r="L138" s="85"/>
      <c r="M138" s="85"/>
      <c r="N138" s="84"/>
      <c r="O138" s="87"/>
      <c r="P138" s="85"/>
      <c r="Q138" s="85"/>
      <c r="R138" s="84"/>
      <c r="S138" s="21">
        <f>T138+V138</f>
        <v>4</v>
      </c>
      <c r="T138" s="19">
        <v>4</v>
      </c>
      <c r="U138" s="19"/>
      <c r="V138" s="22"/>
    </row>
    <row r="139" spans="1:22" ht="13.8" thickBot="1" x14ac:dyDescent="0.3">
      <c r="A139" s="111">
        <v>131</v>
      </c>
      <c r="B139" s="34" t="s">
        <v>149</v>
      </c>
      <c r="C139" s="38">
        <f>G139+K139+O139+S139</f>
        <v>27.847999999999999</v>
      </c>
      <c r="D139" s="36">
        <f>H139+L139+P139+T139</f>
        <v>27.847999999999999</v>
      </c>
      <c r="E139" s="36">
        <f>I139+M139+Q139+U139</f>
        <v>19.053999999999998</v>
      </c>
      <c r="F139" s="37"/>
      <c r="G139" s="49">
        <f>+H139</f>
        <v>27.448</v>
      </c>
      <c r="H139" s="48">
        <v>27.448</v>
      </c>
      <c r="I139" s="48">
        <v>19.053999999999998</v>
      </c>
      <c r="J139" s="114"/>
      <c r="K139" s="131"/>
      <c r="L139" s="132"/>
      <c r="M139" s="132"/>
      <c r="N139" s="133"/>
      <c r="O139" s="131"/>
      <c r="P139" s="132"/>
      <c r="Q139" s="132"/>
      <c r="R139" s="133"/>
      <c r="S139" s="21">
        <f>T139+V139</f>
        <v>0.4</v>
      </c>
      <c r="T139" s="36">
        <v>0.4</v>
      </c>
      <c r="U139" s="36"/>
      <c r="V139" s="39"/>
    </row>
    <row r="140" spans="1:22" ht="42" thickBot="1" x14ac:dyDescent="0.3">
      <c r="A140" s="62">
        <v>132</v>
      </c>
      <c r="B140" s="134" t="s">
        <v>171</v>
      </c>
      <c r="C140" s="64">
        <f t="shared" si="20"/>
        <v>0</v>
      </c>
      <c r="D140" s="52">
        <f t="shared" si="20"/>
        <v>0</v>
      </c>
      <c r="E140" s="52">
        <f t="shared" si="20"/>
        <v>0</v>
      </c>
      <c r="F140" s="55">
        <f t="shared" si="20"/>
        <v>0</v>
      </c>
      <c r="G140" s="64">
        <f>G141+SUM(G157:G168)+G170+G173</f>
        <v>0</v>
      </c>
      <c r="H140" s="54">
        <f>H141+SUM(H157:H168)+H170+H173</f>
        <v>0</v>
      </c>
      <c r="I140" s="52">
        <f>I141+SUM(I157:I168)+I170+I173</f>
        <v>0</v>
      </c>
      <c r="J140" s="57">
        <f>J141+SUM(J157:J168)+J170+J173</f>
        <v>0</v>
      </c>
      <c r="K140" s="65">
        <f>K141+SUM(K158:K168)+K173</f>
        <v>0</v>
      </c>
      <c r="L140" s="52">
        <f>L141+SUM(L158:L168)+L173</f>
        <v>0</v>
      </c>
      <c r="M140" s="52">
        <f>M141+SUM(M157:M168)+M170+M173</f>
        <v>0</v>
      </c>
      <c r="N140" s="57"/>
      <c r="O140" s="64"/>
      <c r="P140" s="52"/>
      <c r="Q140" s="52"/>
      <c r="R140" s="57"/>
      <c r="S140" s="64">
        <f>S141+SUM(S157:S168)+S170+S173</f>
        <v>0</v>
      </c>
      <c r="T140" s="52">
        <f>T157+T173</f>
        <v>0</v>
      </c>
      <c r="U140" s="52">
        <f>U157+U173</f>
        <v>0</v>
      </c>
      <c r="V140" s="57"/>
    </row>
    <row r="141" spans="1:22" x14ac:dyDescent="0.25">
      <c r="A141" s="67">
        <f t="shared" si="19"/>
        <v>133</v>
      </c>
      <c r="B141" s="81" t="s">
        <v>117</v>
      </c>
      <c r="C141" s="76">
        <f t="shared" si="20"/>
        <v>0</v>
      </c>
      <c r="D141" s="74">
        <f t="shared" si="20"/>
        <v>0</v>
      </c>
      <c r="E141" s="74"/>
      <c r="F141" s="77">
        <f t="shared" si="20"/>
        <v>0</v>
      </c>
      <c r="G141" s="74">
        <f>SUM(G142:G156)</f>
        <v>0</v>
      </c>
      <c r="H141" s="74">
        <f>SUM(H142:H156)</f>
        <v>0</v>
      </c>
      <c r="I141" s="74"/>
      <c r="J141" s="78">
        <f>SUM(J142:J156)</f>
        <v>0</v>
      </c>
      <c r="K141" s="79">
        <f>SUM(K142:K153)+K154</f>
        <v>0</v>
      </c>
      <c r="L141" s="74">
        <f>SUM(L142:L153)</f>
        <v>0</v>
      </c>
      <c r="M141" s="74">
        <f>SUM(M142:M153)</f>
        <v>0</v>
      </c>
      <c r="N141" s="104"/>
      <c r="O141" s="123"/>
      <c r="P141" s="108"/>
      <c r="Q141" s="108"/>
      <c r="R141" s="104"/>
      <c r="S141" s="123"/>
      <c r="T141" s="108"/>
      <c r="U141" s="108"/>
      <c r="V141" s="104"/>
    </row>
    <row r="142" spans="1:22" x14ac:dyDescent="0.25">
      <c r="A142" s="82">
        <f t="shared" si="19"/>
        <v>134</v>
      </c>
      <c r="B142" s="32" t="s">
        <v>172</v>
      </c>
      <c r="C142" s="12">
        <f t="shared" si="20"/>
        <v>0</v>
      </c>
      <c r="D142" s="85">
        <f t="shared" si="20"/>
        <v>0</v>
      </c>
      <c r="E142" s="19"/>
      <c r="F142" s="22"/>
      <c r="G142" s="91">
        <f t="shared" si="24"/>
        <v>0</v>
      </c>
      <c r="H142" s="85"/>
      <c r="I142" s="85"/>
      <c r="J142" s="86"/>
      <c r="K142" s="87"/>
      <c r="L142" s="85"/>
      <c r="M142" s="85"/>
      <c r="N142" s="84"/>
      <c r="O142" s="87"/>
      <c r="P142" s="85"/>
      <c r="Q142" s="85"/>
      <c r="R142" s="84"/>
      <c r="S142" s="87"/>
      <c r="T142" s="85"/>
      <c r="U142" s="85"/>
      <c r="V142" s="84"/>
    </row>
    <row r="143" spans="1:22" x14ac:dyDescent="0.25">
      <c r="A143" s="82">
        <f>+A142+1</f>
        <v>135</v>
      </c>
      <c r="B143" s="32" t="s">
        <v>173</v>
      </c>
      <c r="C143" s="12">
        <f t="shared" si="20"/>
        <v>0</v>
      </c>
      <c r="D143" s="85">
        <f t="shared" si="20"/>
        <v>0</v>
      </c>
      <c r="E143" s="19"/>
      <c r="F143" s="22"/>
      <c r="G143" s="91">
        <f t="shared" si="24"/>
        <v>0</v>
      </c>
      <c r="H143" s="85"/>
      <c r="I143" s="85"/>
      <c r="J143" s="86"/>
      <c r="K143" s="87"/>
      <c r="L143" s="85"/>
      <c r="M143" s="85"/>
      <c r="N143" s="84"/>
      <c r="O143" s="87"/>
      <c r="P143" s="85"/>
      <c r="Q143" s="85"/>
      <c r="R143" s="84"/>
      <c r="S143" s="87"/>
      <c r="T143" s="85"/>
      <c r="U143" s="85"/>
      <c r="V143" s="84"/>
    </row>
    <row r="144" spans="1:22" x14ac:dyDescent="0.25">
      <c r="A144" s="82">
        <f>+A143+1</f>
        <v>136</v>
      </c>
      <c r="B144" s="32" t="s">
        <v>174</v>
      </c>
      <c r="C144" s="12">
        <f t="shared" si="20"/>
        <v>0</v>
      </c>
      <c r="D144" s="85">
        <f t="shared" si="20"/>
        <v>0</v>
      </c>
      <c r="E144" s="19"/>
      <c r="F144" s="22"/>
      <c r="G144" s="91">
        <f t="shared" si="24"/>
        <v>0</v>
      </c>
      <c r="H144" s="85"/>
      <c r="I144" s="85"/>
      <c r="J144" s="86"/>
      <c r="K144" s="87"/>
      <c r="L144" s="85"/>
      <c r="M144" s="85"/>
      <c r="N144" s="84"/>
      <c r="O144" s="87"/>
      <c r="P144" s="85"/>
      <c r="Q144" s="85"/>
      <c r="R144" s="84"/>
      <c r="S144" s="87"/>
      <c r="T144" s="85"/>
      <c r="U144" s="85"/>
      <c r="V144" s="84"/>
    </row>
    <row r="145" spans="1:22" x14ac:dyDescent="0.25">
      <c r="A145" s="82">
        <v>137</v>
      </c>
      <c r="B145" s="32" t="s">
        <v>175</v>
      </c>
      <c r="C145" s="12">
        <f t="shared" si="20"/>
        <v>0</v>
      </c>
      <c r="D145" s="85">
        <f t="shared" si="20"/>
        <v>0</v>
      </c>
      <c r="E145" s="19"/>
      <c r="F145" s="22"/>
      <c r="G145" s="91">
        <f t="shared" si="24"/>
        <v>0</v>
      </c>
      <c r="H145" s="83"/>
      <c r="I145" s="85"/>
      <c r="J145" s="86"/>
      <c r="K145" s="87"/>
      <c r="L145" s="85"/>
      <c r="M145" s="85"/>
      <c r="N145" s="84"/>
      <c r="O145" s="87"/>
      <c r="P145" s="85"/>
      <c r="Q145" s="85"/>
      <c r="R145" s="84"/>
      <c r="S145" s="87"/>
      <c r="T145" s="85"/>
      <c r="U145" s="85"/>
      <c r="V145" s="84"/>
    </row>
    <row r="146" spans="1:22" x14ac:dyDescent="0.25">
      <c r="A146" s="82">
        <v>138</v>
      </c>
      <c r="B146" s="110" t="s">
        <v>176</v>
      </c>
      <c r="C146" s="12">
        <f t="shared" si="20"/>
        <v>0</v>
      </c>
      <c r="D146" s="85">
        <f t="shared" si="20"/>
        <v>0</v>
      </c>
      <c r="E146" s="19"/>
      <c r="F146" s="22"/>
      <c r="G146" s="91">
        <f t="shared" si="24"/>
        <v>0</v>
      </c>
      <c r="H146" s="85"/>
      <c r="I146" s="85"/>
      <c r="J146" s="86"/>
      <c r="K146" s="87"/>
      <c r="L146" s="85"/>
      <c r="M146" s="85"/>
      <c r="N146" s="84"/>
      <c r="O146" s="87"/>
      <c r="P146" s="85"/>
      <c r="Q146" s="85"/>
      <c r="R146" s="84"/>
      <c r="S146" s="87"/>
      <c r="T146" s="85"/>
      <c r="U146" s="85"/>
      <c r="V146" s="84"/>
    </row>
    <row r="147" spans="1:22" x14ac:dyDescent="0.25">
      <c r="A147" s="82">
        <f>+A146+1</f>
        <v>139</v>
      </c>
      <c r="B147" s="32" t="s">
        <v>177</v>
      </c>
      <c r="C147" s="12">
        <f t="shared" si="20"/>
        <v>0</v>
      </c>
      <c r="D147" s="85">
        <f t="shared" si="20"/>
        <v>0</v>
      </c>
      <c r="E147" s="19"/>
      <c r="F147" s="22"/>
      <c r="G147" s="91"/>
      <c r="H147" s="85"/>
      <c r="I147" s="85"/>
      <c r="J147" s="86"/>
      <c r="K147" s="87">
        <f>L147+N147</f>
        <v>0</v>
      </c>
      <c r="L147" s="85"/>
      <c r="M147" s="85"/>
      <c r="N147" s="84"/>
      <c r="O147" s="87"/>
      <c r="P147" s="85"/>
      <c r="Q147" s="85"/>
      <c r="R147" s="84"/>
      <c r="S147" s="87"/>
      <c r="T147" s="85"/>
      <c r="U147" s="85"/>
      <c r="V147" s="84"/>
    </row>
    <row r="148" spans="1:22" x14ac:dyDescent="0.25">
      <c r="A148" s="82">
        <f>+A147+1</f>
        <v>140</v>
      </c>
      <c r="B148" s="32" t="s">
        <v>178</v>
      </c>
      <c r="C148" s="12">
        <f t="shared" si="20"/>
        <v>0</v>
      </c>
      <c r="D148" s="85">
        <f t="shared" si="20"/>
        <v>0</v>
      </c>
      <c r="E148" s="19"/>
      <c r="F148" s="22"/>
      <c r="G148" s="91"/>
      <c r="H148" s="85"/>
      <c r="I148" s="85"/>
      <c r="J148" s="86"/>
      <c r="K148" s="87">
        <f>L148+N148</f>
        <v>0</v>
      </c>
      <c r="L148" s="85"/>
      <c r="M148" s="85"/>
      <c r="N148" s="84"/>
      <c r="O148" s="87"/>
      <c r="P148" s="85"/>
      <c r="Q148" s="85"/>
      <c r="R148" s="84"/>
      <c r="S148" s="87"/>
      <c r="T148" s="85"/>
      <c r="U148" s="85"/>
      <c r="V148" s="84"/>
    </row>
    <row r="149" spans="1:22" x14ac:dyDescent="0.25">
      <c r="A149" s="82">
        <v>141</v>
      </c>
      <c r="B149" s="32" t="s">
        <v>179</v>
      </c>
      <c r="C149" s="12"/>
      <c r="D149" s="85"/>
      <c r="E149" s="19"/>
      <c r="F149" s="22"/>
      <c r="G149" s="91"/>
      <c r="H149" s="85"/>
      <c r="I149" s="85"/>
      <c r="J149" s="86"/>
      <c r="K149" s="87">
        <f>L149+N149</f>
        <v>0</v>
      </c>
      <c r="L149" s="85"/>
      <c r="M149" s="85"/>
      <c r="N149" s="84"/>
      <c r="O149" s="87"/>
      <c r="P149" s="85"/>
      <c r="Q149" s="85"/>
      <c r="R149" s="84"/>
      <c r="S149" s="87"/>
      <c r="T149" s="85"/>
      <c r="U149" s="85"/>
      <c r="V149" s="84"/>
    </row>
    <row r="150" spans="1:22" x14ac:dyDescent="0.25">
      <c r="A150" s="82">
        <v>142</v>
      </c>
      <c r="B150" s="32" t="s">
        <v>180</v>
      </c>
      <c r="C150" s="12">
        <f t="shared" si="20"/>
        <v>0</v>
      </c>
      <c r="D150" s="85">
        <f t="shared" si="20"/>
        <v>0</v>
      </c>
      <c r="E150" s="19"/>
      <c r="F150" s="22"/>
      <c r="G150" s="91">
        <f t="shared" si="24"/>
        <v>0</v>
      </c>
      <c r="H150" s="85"/>
      <c r="I150" s="85"/>
      <c r="J150" s="86"/>
      <c r="K150" s="87"/>
      <c r="L150" s="85"/>
      <c r="M150" s="85"/>
      <c r="N150" s="84"/>
      <c r="O150" s="87"/>
      <c r="P150" s="85"/>
      <c r="Q150" s="85"/>
      <c r="R150" s="84"/>
      <c r="S150" s="87"/>
      <c r="T150" s="85"/>
      <c r="U150" s="85"/>
      <c r="V150" s="84"/>
    </row>
    <row r="151" spans="1:22" ht="39.6" x14ac:dyDescent="0.25">
      <c r="A151" s="135">
        <v>143</v>
      </c>
      <c r="B151" s="136" t="s">
        <v>181</v>
      </c>
      <c r="C151" s="137">
        <f t="shared" si="20"/>
        <v>0</v>
      </c>
      <c r="D151" s="138">
        <f>H151+L151+P151+T151</f>
        <v>0</v>
      </c>
      <c r="E151" s="139"/>
      <c r="F151" s="140"/>
      <c r="G151" s="141">
        <f t="shared" si="24"/>
        <v>0</v>
      </c>
      <c r="H151" s="142"/>
      <c r="I151" s="143"/>
      <c r="J151" s="144"/>
      <c r="K151" s="87"/>
      <c r="L151" s="143"/>
      <c r="M151" s="143"/>
      <c r="N151" s="145"/>
      <c r="O151" s="146"/>
      <c r="P151" s="143"/>
      <c r="Q151" s="143"/>
      <c r="R151" s="145"/>
      <c r="S151" s="33"/>
      <c r="T151" s="143"/>
      <c r="U151" s="143"/>
      <c r="V151" s="145"/>
    </row>
    <row r="152" spans="1:22" x14ac:dyDescent="0.25">
      <c r="A152" s="135">
        <v>144</v>
      </c>
      <c r="B152" s="136" t="s">
        <v>182</v>
      </c>
      <c r="C152" s="137">
        <f t="shared" si="20"/>
        <v>0</v>
      </c>
      <c r="D152" s="138">
        <f>H152+L152+P152+T152</f>
        <v>0</v>
      </c>
      <c r="E152" s="138">
        <f>I152+M152+Q152+U152</f>
        <v>0</v>
      </c>
      <c r="F152" s="140"/>
      <c r="G152" s="141"/>
      <c r="H152" s="142"/>
      <c r="I152" s="143"/>
      <c r="J152" s="144"/>
      <c r="K152" s="87">
        <f>L152+N152</f>
        <v>0</v>
      </c>
      <c r="L152" s="143"/>
      <c r="M152" s="143"/>
      <c r="N152" s="145"/>
      <c r="O152" s="146"/>
      <c r="P152" s="143"/>
      <c r="Q152" s="143"/>
      <c r="R152" s="145"/>
      <c r="S152" s="33"/>
      <c r="T152" s="143"/>
      <c r="U152" s="143"/>
      <c r="V152" s="145"/>
    </row>
    <row r="153" spans="1:22" ht="26.4" x14ac:dyDescent="0.25">
      <c r="A153" s="82">
        <v>145</v>
      </c>
      <c r="B153" s="95" t="s">
        <v>183</v>
      </c>
      <c r="C153" s="12">
        <f t="shared" si="20"/>
        <v>0</v>
      </c>
      <c r="D153" s="138"/>
      <c r="E153" s="19"/>
      <c r="F153" s="24">
        <f t="shared" si="20"/>
        <v>0</v>
      </c>
      <c r="G153" s="141">
        <f t="shared" si="24"/>
        <v>0</v>
      </c>
      <c r="H153" s="85"/>
      <c r="I153" s="85"/>
      <c r="J153" s="86"/>
      <c r="K153" s="87"/>
      <c r="L153" s="85"/>
      <c r="M153" s="85"/>
      <c r="N153" s="84"/>
      <c r="O153" s="87"/>
      <c r="P153" s="85"/>
      <c r="Q153" s="85"/>
      <c r="R153" s="84"/>
      <c r="S153" s="87"/>
      <c r="T153" s="85"/>
      <c r="U153" s="85"/>
      <c r="V153" s="84"/>
    </row>
    <row r="154" spans="1:22" ht="26.4" x14ac:dyDescent="0.25">
      <c r="A154" s="82">
        <v>146</v>
      </c>
      <c r="B154" s="147" t="s">
        <v>64</v>
      </c>
      <c r="C154" s="12">
        <f t="shared" si="20"/>
        <v>0</v>
      </c>
      <c r="D154" s="138"/>
      <c r="E154" s="19"/>
      <c r="F154" s="24">
        <f t="shared" si="20"/>
        <v>0</v>
      </c>
      <c r="G154" s="141">
        <f t="shared" si="24"/>
        <v>0</v>
      </c>
      <c r="H154" s="85"/>
      <c r="I154" s="85"/>
      <c r="J154" s="86"/>
      <c r="K154" s="87"/>
      <c r="L154" s="85"/>
      <c r="M154" s="85"/>
      <c r="N154" s="84"/>
      <c r="O154" s="87"/>
      <c r="P154" s="85"/>
      <c r="Q154" s="85"/>
      <c r="R154" s="84"/>
      <c r="S154" s="87"/>
      <c r="T154" s="85"/>
      <c r="U154" s="85"/>
      <c r="V154" s="84"/>
    </row>
    <row r="155" spans="1:22" x14ac:dyDescent="0.25">
      <c r="A155" s="82">
        <v>147</v>
      </c>
      <c r="B155" s="147" t="s">
        <v>184</v>
      </c>
      <c r="C155" s="12">
        <f t="shared" si="20"/>
        <v>0</v>
      </c>
      <c r="D155" s="138">
        <f>H155+L155+P155+T155</f>
        <v>0</v>
      </c>
      <c r="E155" s="19"/>
      <c r="F155" s="24"/>
      <c r="G155" s="141">
        <f t="shared" si="24"/>
        <v>0</v>
      </c>
      <c r="H155" s="85"/>
      <c r="I155" s="85"/>
      <c r="J155" s="86"/>
      <c r="K155" s="87"/>
      <c r="L155" s="85"/>
      <c r="M155" s="85"/>
      <c r="N155" s="84"/>
      <c r="O155" s="87"/>
      <c r="P155" s="85"/>
      <c r="Q155" s="85"/>
      <c r="R155" s="84"/>
      <c r="S155" s="87"/>
      <c r="T155" s="85"/>
      <c r="U155" s="85"/>
      <c r="V155" s="84"/>
    </row>
    <row r="156" spans="1:22" x14ac:dyDescent="0.25">
      <c r="A156" s="82">
        <v>148</v>
      </c>
      <c r="B156" s="147" t="s">
        <v>185</v>
      </c>
      <c r="C156" s="12">
        <f t="shared" si="20"/>
        <v>0</v>
      </c>
      <c r="D156" s="138">
        <f>H156+L156+P156+T156</f>
        <v>0</v>
      </c>
      <c r="E156" s="19"/>
      <c r="F156" s="24"/>
      <c r="G156" s="141">
        <f t="shared" si="24"/>
        <v>0</v>
      </c>
      <c r="H156" s="85"/>
      <c r="I156" s="85"/>
      <c r="J156" s="86"/>
      <c r="K156" s="87"/>
      <c r="L156" s="85"/>
      <c r="M156" s="85"/>
      <c r="N156" s="84"/>
      <c r="O156" s="87"/>
      <c r="P156" s="85"/>
      <c r="Q156" s="85"/>
      <c r="R156" s="84"/>
      <c r="S156" s="87"/>
      <c r="T156" s="85"/>
      <c r="U156" s="85"/>
      <c r="V156" s="84"/>
    </row>
    <row r="157" spans="1:22" x14ac:dyDescent="0.25">
      <c r="A157" s="82">
        <v>149</v>
      </c>
      <c r="B157" s="17" t="s">
        <v>27</v>
      </c>
      <c r="C157" s="21">
        <f t="shared" si="20"/>
        <v>0</v>
      </c>
      <c r="D157" s="19">
        <f t="shared" si="20"/>
        <v>0</v>
      </c>
      <c r="E157" s="19">
        <f t="shared" si="20"/>
        <v>0</v>
      </c>
      <c r="F157" s="22"/>
      <c r="G157" s="18">
        <f t="shared" si="24"/>
        <v>0</v>
      </c>
      <c r="H157" s="19"/>
      <c r="I157" s="19"/>
      <c r="J157" s="20"/>
      <c r="K157" s="21"/>
      <c r="L157" s="19"/>
      <c r="M157" s="19"/>
      <c r="N157" s="84"/>
      <c r="O157" s="87"/>
      <c r="P157" s="85"/>
      <c r="Q157" s="85"/>
      <c r="R157" s="84"/>
      <c r="S157" s="21">
        <f>T157+V157</f>
        <v>0</v>
      </c>
      <c r="T157" s="19"/>
      <c r="U157" s="19"/>
      <c r="V157" s="22"/>
    </row>
    <row r="158" spans="1:22" x14ac:dyDescent="0.25">
      <c r="A158" s="82">
        <f t="shared" ref="A158:A205" si="26">+A157+1</f>
        <v>150</v>
      </c>
      <c r="B158" s="17" t="s">
        <v>7</v>
      </c>
      <c r="C158" s="21">
        <f t="shared" si="20"/>
        <v>0</v>
      </c>
      <c r="D158" s="19">
        <f t="shared" si="20"/>
        <v>0</v>
      </c>
      <c r="E158" s="19">
        <f t="shared" si="20"/>
        <v>0</v>
      </c>
      <c r="F158" s="22"/>
      <c r="G158" s="18"/>
      <c r="H158" s="15"/>
      <c r="I158" s="15"/>
      <c r="J158" s="23"/>
      <c r="K158" s="21">
        <f t="shared" ref="K158:K169" si="27">L158+N158</f>
        <v>0</v>
      </c>
      <c r="L158" s="19"/>
      <c r="M158" s="19"/>
      <c r="N158" s="24"/>
      <c r="O158" s="87"/>
      <c r="P158" s="85"/>
      <c r="Q158" s="85"/>
      <c r="R158" s="84"/>
      <c r="S158" s="87"/>
      <c r="T158" s="85"/>
      <c r="U158" s="85"/>
      <c r="V158" s="84"/>
    </row>
    <row r="159" spans="1:22" x14ac:dyDescent="0.25">
      <c r="A159" s="82">
        <f t="shared" si="26"/>
        <v>151</v>
      </c>
      <c r="B159" s="17" t="s">
        <v>8</v>
      </c>
      <c r="C159" s="21">
        <f t="shared" si="20"/>
        <v>0</v>
      </c>
      <c r="D159" s="19">
        <f t="shared" si="20"/>
        <v>0</v>
      </c>
      <c r="E159" s="19">
        <f t="shared" si="20"/>
        <v>0</v>
      </c>
      <c r="F159" s="22"/>
      <c r="G159" s="18"/>
      <c r="H159" s="15"/>
      <c r="I159" s="15"/>
      <c r="J159" s="23"/>
      <c r="K159" s="21">
        <f t="shared" si="27"/>
        <v>0</v>
      </c>
      <c r="L159" s="19"/>
      <c r="M159" s="19"/>
      <c r="N159" s="24"/>
      <c r="O159" s="87"/>
      <c r="P159" s="85"/>
      <c r="Q159" s="85"/>
      <c r="R159" s="84"/>
      <c r="S159" s="87"/>
      <c r="T159" s="85"/>
      <c r="U159" s="85"/>
      <c r="V159" s="84"/>
    </row>
    <row r="160" spans="1:22" x14ac:dyDescent="0.25">
      <c r="A160" s="82">
        <f t="shared" si="26"/>
        <v>152</v>
      </c>
      <c r="B160" s="17" t="s">
        <v>9</v>
      </c>
      <c r="C160" s="21">
        <f t="shared" si="20"/>
        <v>0</v>
      </c>
      <c r="D160" s="19">
        <f t="shared" si="20"/>
        <v>0</v>
      </c>
      <c r="E160" s="19">
        <f t="shared" si="20"/>
        <v>0</v>
      </c>
      <c r="F160" s="22"/>
      <c r="G160" s="18"/>
      <c r="H160" s="15"/>
      <c r="I160" s="15"/>
      <c r="J160" s="23"/>
      <c r="K160" s="21">
        <f t="shared" si="27"/>
        <v>0</v>
      </c>
      <c r="L160" s="19"/>
      <c r="M160" s="19"/>
      <c r="N160" s="24"/>
      <c r="O160" s="87"/>
      <c r="P160" s="85"/>
      <c r="Q160" s="85"/>
      <c r="R160" s="84"/>
      <c r="S160" s="87"/>
      <c r="T160" s="85"/>
      <c r="U160" s="85"/>
      <c r="V160" s="84"/>
    </row>
    <row r="161" spans="1:22" x14ac:dyDescent="0.25">
      <c r="A161" s="82">
        <f t="shared" si="26"/>
        <v>153</v>
      </c>
      <c r="B161" s="17" t="s">
        <v>10</v>
      </c>
      <c r="C161" s="21">
        <f t="shared" si="20"/>
        <v>0</v>
      </c>
      <c r="D161" s="19">
        <f t="shared" si="20"/>
        <v>0</v>
      </c>
      <c r="E161" s="19">
        <f t="shared" si="20"/>
        <v>0</v>
      </c>
      <c r="F161" s="22"/>
      <c r="G161" s="18"/>
      <c r="H161" s="15"/>
      <c r="I161" s="15"/>
      <c r="J161" s="23"/>
      <c r="K161" s="21">
        <f t="shared" si="27"/>
        <v>0</v>
      </c>
      <c r="L161" s="19"/>
      <c r="M161" s="19"/>
      <c r="N161" s="24"/>
      <c r="O161" s="87"/>
      <c r="P161" s="85"/>
      <c r="Q161" s="85"/>
      <c r="R161" s="84"/>
      <c r="S161" s="87"/>
      <c r="T161" s="85"/>
      <c r="U161" s="85"/>
      <c r="V161" s="84"/>
    </row>
    <row r="162" spans="1:22" x14ac:dyDescent="0.25">
      <c r="A162" s="82">
        <f t="shared" si="26"/>
        <v>154</v>
      </c>
      <c r="B162" s="17" t="s">
        <v>11</v>
      </c>
      <c r="C162" s="21">
        <f t="shared" si="20"/>
        <v>0</v>
      </c>
      <c r="D162" s="19">
        <f t="shared" si="20"/>
        <v>0</v>
      </c>
      <c r="E162" s="19">
        <f t="shared" si="20"/>
        <v>0</v>
      </c>
      <c r="F162" s="22"/>
      <c r="G162" s="18"/>
      <c r="H162" s="15"/>
      <c r="I162" s="15"/>
      <c r="J162" s="23"/>
      <c r="K162" s="21">
        <f t="shared" si="27"/>
        <v>0</v>
      </c>
      <c r="L162" s="19"/>
      <c r="M162" s="19"/>
      <c r="N162" s="24"/>
      <c r="O162" s="87"/>
      <c r="P162" s="85"/>
      <c r="Q162" s="85"/>
      <c r="R162" s="84"/>
      <c r="S162" s="87"/>
      <c r="T162" s="85"/>
      <c r="U162" s="85"/>
      <c r="V162" s="84"/>
    </row>
    <row r="163" spans="1:22" x14ac:dyDescent="0.25">
      <c r="A163" s="82">
        <f t="shared" si="26"/>
        <v>155</v>
      </c>
      <c r="B163" s="17" t="s">
        <v>12</v>
      </c>
      <c r="C163" s="21">
        <f t="shared" si="20"/>
        <v>0</v>
      </c>
      <c r="D163" s="19">
        <f t="shared" si="20"/>
        <v>0</v>
      </c>
      <c r="E163" s="19">
        <f t="shared" si="20"/>
        <v>0</v>
      </c>
      <c r="F163" s="22"/>
      <c r="G163" s="18"/>
      <c r="H163" s="15"/>
      <c r="I163" s="15"/>
      <c r="J163" s="23"/>
      <c r="K163" s="21">
        <f t="shared" si="27"/>
        <v>0</v>
      </c>
      <c r="L163" s="19"/>
      <c r="M163" s="19"/>
      <c r="N163" s="24"/>
      <c r="O163" s="87"/>
      <c r="P163" s="85"/>
      <c r="Q163" s="85"/>
      <c r="R163" s="84"/>
      <c r="S163" s="87"/>
      <c r="T163" s="85"/>
      <c r="U163" s="85"/>
      <c r="V163" s="84"/>
    </row>
    <row r="164" spans="1:22" x14ac:dyDescent="0.25">
      <c r="A164" s="82">
        <f t="shared" si="26"/>
        <v>156</v>
      </c>
      <c r="B164" s="17" t="s">
        <v>13</v>
      </c>
      <c r="C164" s="21">
        <f t="shared" si="20"/>
        <v>0</v>
      </c>
      <c r="D164" s="19">
        <f t="shared" si="20"/>
        <v>0</v>
      </c>
      <c r="E164" s="19">
        <f t="shared" si="20"/>
        <v>0</v>
      </c>
      <c r="F164" s="22"/>
      <c r="G164" s="18"/>
      <c r="H164" s="15"/>
      <c r="I164" s="15"/>
      <c r="J164" s="23"/>
      <c r="K164" s="21">
        <f t="shared" si="27"/>
        <v>0</v>
      </c>
      <c r="L164" s="19"/>
      <c r="M164" s="19"/>
      <c r="N164" s="24"/>
      <c r="O164" s="87"/>
      <c r="P164" s="85"/>
      <c r="Q164" s="85"/>
      <c r="R164" s="84"/>
      <c r="S164" s="87"/>
      <c r="T164" s="85"/>
      <c r="U164" s="85"/>
      <c r="V164" s="84"/>
    </row>
    <row r="165" spans="1:22" x14ac:dyDescent="0.25">
      <c r="A165" s="82">
        <f t="shared" si="26"/>
        <v>157</v>
      </c>
      <c r="B165" s="17" t="s">
        <v>14</v>
      </c>
      <c r="C165" s="21">
        <f t="shared" ref="C165:E174" si="28">G165+K165+O165+S165</f>
        <v>0</v>
      </c>
      <c r="D165" s="19">
        <f t="shared" si="28"/>
        <v>0</v>
      </c>
      <c r="E165" s="19">
        <f t="shared" si="28"/>
        <v>0</v>
      </c>
      <c r="F165" s="22"/>
      <c r="G165" s="18"/>
      <c r="H165" s="15"/>
      <c r="I165" s="15"/>
      <c r="J165" s="23"/>
      <c r="K165" s="21">
        <f t="shared" si="27"/>
        <v>0</v>
      </c>
      <c r="L165" s="19"/>
      <c r="M165" s="19"/>
      <c r="N165" s="24"/>
      <c r="O165" s="87"/>
      <c r="P165" s="85"/>
      <c r="Q165" s="85"/>
      <c r="R165" s="84"/>
      <c r="S165" s="87"/>
      <c r="T165" s="85"/>
      <c r="U165" s="85"/>
      <c r="V165" s="84"/>
    </row>
    <row r="166" spans="1:22" x14ac:dyDescent="0.25">
      <c r="A166" s="82">
        <f t="shared" si="26"/>
        <v>158</v>
      </c>
      <c r="B166" s="17" t="s">
        <v>28</v>
      </c>
      <c r="C166" s="21">
        <f t="shared" si="28"/>
        <v>0</v>
      </c>
      <c r="D166" s="19">
        <f t="shared" si="28"/>
        <v>0</v>
      </c>
      <c r="E166" s="19">
        <f t="shared" si="28"/>
        <v>0</v>
      </c>
      <c r="F166" s="22"/>
      <c r="G166" s="18">
        <f t="shared" si="24"/>
        <v>0</v>
      </c>
      <c r="H166" s="19"/>
      <c r="I166" s="15"/>
      <c r="J166" s="23"/>
      <c r="K166" s="21">
        <f t="shared" si="27"/>
        <v>0</v>
      </c>
      <c r="L166" s="19"/>
      <c r="M166" s="19"/>
      <c r="N166" s="24"/>
      <c r="O166" s="87"/>
      <c r="P166" s="85"/>
      <c r="Q166" s="85"/>
      <c r="R166" s="84"/>
      <c r="S166" s="87"/>
      <c r="T166" s="85"/>
      <c r="U166" s="85"/>
      <c r="V166" s="84"/>
    </row>
    <row r="167" spans="1:22" x14ac:dyDescent="0.25">
      <c r="A167" s="82">
        <f t="shared" si="26"/>
        <v>159</v>
      </c>
      <c r="B167" s="17" t="s">
        <v>16</v>
      </c>
      <c r="C167" s="21">
        <f t="shared" si="28"/>
        <v>0</v>
      </c>
      <c r="D167" s="19">
        <f t="shared" si="28"/>
        <v>0</v>
      </c>
      <c r="E167" s="19">
        <f t="shared" si="28"/>
        <v>0</v>
      </c>
      <c r="F167" s="22"/>
      <c r="G167" s="18"/>
      <c r="H167" s="15"/>
      <c r="I167" s="15"/>
      <c r="J167" s="23"/>
      <c r="K167" s="21">
        <f t="shared" si="27"/>
        <v>0</v>
      </c>
      <c r="L167" s="19"/>
      <c r="M167" s="19"/>
      <c r="N167" s="24"/>
      <c r="O167" s="87"/>
      <c r="P167" s="85"/>
      <c r="Q167" s="85"/>
      <c r="R167" s="84"/>
      <c r="S167" s="87"/>
      <c r="T167" s="85"/>
      <c r="U167" s="85"/>
      <c r="V167" s="84"/>
    </row>
    <row r="168" spans="1:22" x14ac:dyDescent="0.25">
      <c r="A168" s="82">
        <f t="shared" si="26"/>
        <v>160</v>
      </c>
      <c r="B168" s="46" t="s">
        <v>112</v>
      </c>
      <c r="C168" s="21">
        <f t="shared" si="28"/>
        <v>0</v>
      </c>
      <c r="D168" s="19">
        <f t="shared" si="28"/>
        <v>0</v>
      </c>
      <c r="E168" s="19">
        <f t="shared" si="28"/>
        <v>0</v>
      </c>
      <c r="F168" s="22"/>
      <c r="G168" s="92"/>
      <c r="H168" s="85"/>
      <c r="I168" s="85"/>
      <c r="J168" s="92"/>
      <c r="K168" s="27">
        <f t="shared" si="27"/>
        <v>0</v>
      </c>
      <c r="L168" s="19"/>
      <c r="M168" s="19"/>
      <c r="N168" s="89"/>
      <c r="O168" s="94"/>
      <c r="P168" s="85"/>
      <c r="Q168" s="85"/>
      <c r="R168" s="89"/>
      <c r="S168" s="94"/>
      <c r="T168" s="85"/>
      <c r="U168" s="85"/>
      <c r="V168" s="89"/>
    </row>
    <row r="169" spans="1:22" x14ac:dyDescent="0.25">
      <c r="A169" s="82">
        <f t="shared" si="26"/>
        <v>161</v>
      </c>
      <c r="B169" s="32" t="s">
        <v>186</v>
      </c>
      <c r="C169" s="12">
        <f t="shared" si="28"/>
        <v>0</v>
      </c>
      <c r="D169" s="15">
        <f t="shared" si="28"/>
        <v>0</v>
      </c>
      <c r="E169" s="15">
        <f t="shared" si="28"/>
        <v>0</v>
      </c>
      <c r="F169" s="22"/>
      <c r="G169" s="92"/>
      <c r="H169" s="19"/>
      <c r="I169" s="19"/>
      <c r="J169" s="88"/>
      <c r="K169" s="148">
        <f t="shared" si="27"/>
        <v>0</v>
      </c>
      <c r="L169" s="15"/>
      <c r="M169" s="15"/>
      <c r="N169" s="89"/>
      <c r="O169" s="94"/>
      <c r="P169" s="85"/>
      <c r="Q169" s="85"/>
      <c r="R169" s="89"/>
      <c r="S169" s="94"/>
      <c r="T169" s="85"/>
      <c r="U169" s="85"/>
      <c r="V169" s="89"/>
    </row>
    <row r="170" spans="1:22" x14ac:dyDescent="0.25">
      <c r="A170" s="82">
        <f t="shared" si="26"/>
        <v>162</v>
      </c>
      <c r="B170" s="17" t="s">
        <v>36</v>
      </c>
      <c r="C170" s="21">
        <f t="shared" si="28"/>
        <v>0</v>
      </c>
      <c r="D170" s="19">
        <f t="shared" si="28"/>
        <v>0</v>
      </c>
      <c r="E170" s="19"/>
      <c r="F170" s="22"/>
      <c r="G170" s="88">
        <f>G171+G172</f>
        <v>0</v>
      </c>
      <c r="H170" s="19"/>
      <c r="I170" s="85"/>
      <c r="J170" s="92"/>
      <c r="K170" s="94"/>
      <c r="L170" s="85"/>
      <c r="M170" s="85"/>
      <c r="N170" s="89"/>
      <c r="O170" s="94"/>
      <c r="P170" s="85"/>
      <c r="Q170" s="85"/>
      <c r="R170" s="89"/>
      <c r="S170" s="94"/>
      <c r="T170" s="85"/>
      <c r="U170" s="85"/>
      <c r="V170" s="89"/>
    </row>
    <row r="171" spans="1:22" x14ac:dyDescent="0.25">
      <c r="A171" s="82">
        <f t="shared" si="26"/>
        <v>163</v>
      </c>
      <c r="B171" s="110" t="s">
        <v>187</v>
      </c>
      <c r="C171" s="12">
        <f t="shared" si="28"/>
        <v>0</v>
      </c>
      <c r="D171" s="85">
        <f t="shared" si="28"/>
        <v>0</v>
      </c>
      <c r="E171" s="85"/>
      <c r="F171" s="84"/>
      <c r="G171" s="92">
        <f t="shared" si="24"/>
        <v>0</v>
      </c>
      <c r="H171" s="85"/>
      <c r="I171" s="85"/>
      <c r="J171" s="92"/>
      <c r="K171" s="94"/>
      <c r="L171" s="85"/>
      <c r="M171" s="85"/>
      <c r="N171" s="89"/>
      <c r="O171" s="94"/>
      <c r="P171" s="85"/>
      <c r="Q171" s="85"/>
      <c r="R171" s="89"/>
      <c r="S171" s="94"/>
      <c r="T171" s="85"/>
      <c r="U171" s="85"/>
      <c r="V171" s="89"/>
    </row>
    <row r="172" spans="1:22" x14ac:dyDescent="0.25">
      <c r="A172" s="82">
        <f t="shared" si="26"/>
        <v>164</v>
      </c>
      <c r="B172" s="32" t="s">
        <v>188</v>
      </c>
      <c r="C172" s="12">
        <f t="shared" si="28"/>
        <v>0</v>
      </c>
      <c r="D172" s="85">
        <f t="shared" si="28"/>
        <v>0</v>
      </c>
      <c r="E172" s="85"/>
      <c r="F172" s="84"/>
      <c r="G172" s="92">
        <f t="shared" ref="G172:G207" si="29">H172+J172</f>
        <v>0</v>
      </c>
      <c r="H172" s="85"/>
      <c r="I172" s="85"/>
      <c r="J172" s="92"/>
      <c r="K172" s="94"/>
      <c r="L172" s="85"/>
      <c r="M172" s="85"/>
      <c r="N172" s="89"/>
      <c r="O172" s="94"/>
      <c r="P172" s="85"/>
      <c r="Q172" s="85"/>
      <c r="R172" s="89"/>
      <c r="S172" s="94"/>
      <c r="T172" s="85"/>
      <c r="U172" s="85"/>
      <c r="V172" s="89"/>
    </row>
    <row r="173" spans="1:22" x14ac:dyDescent="0.25">
      <c r="A173" s="82">
        <v>165</v>
      </c>
      <c r="B173" s="17" t="s">
        <v>6</v>
      </c>
      <c r="C173" s="21">
        <f t="shared" si="28"/>
        <v>0</v>
      </c>
      <c r="D173" s="19">
        <f t="shared" si="28"/>
        <v>0</v>
      </c>
      <c r="E173" s="19">
        <f>I173+M173+Q173+U173</f>
        <v>0</v>
      </c>
      <c r="F173" s="22"/>
      <c r="G173" s="18"/>
      <c r="H173" s="19"/>
      <c r="I173" s="19"/>
      <c r="J173" s="86"/>
      <c r="K173" s="27">
        <f>L173+N173</f>
        <v>0</v>
      </c>
      <c r="L173" s="19"/>
      <c r="M173" s="19"/>
      <c r="N173" s="84"/>
      <c r="O173" s="87"/>
      <c r="P173" s="85"/>
      <c r="Q173" s="85"/>
      <c r="R173" s="84"/>
      <c r="S173" s="21">
        <f>T173+V173</f>
        <v>0</v>
      </c>
      <c r="T173" s="19"/>
      <c r="U173" s="19"/>
      <c r="V173" s="84"/>
    </row>
    <row r="174" spans="1:22" ht="13.8" thickBot="1" x14ac:dyDescent="0.3">
      <c r="A174" s="111">
        <f t="shared" si="26"/>
        <v>166</v>
      </c>
      <c r="B174" s="149" t="s">
        <v>189</v>
      </c>
      <c r="C174" s="41">
        <f t="shared" si="28"/>
        <v>0</v>
      </c>
      <c r="D174" s="132">
        <f t="shared" si="28"/>
        <v>0</v>
      </c>
      <c r="E174" s="132">
        <f>I174+M174+Q174+U174</f>
        <v>0</v>
      </c>
      <c r="F174" s="133"/>
      <c r="G174" s="150"/>
      <c r="H174" s="132"/>
      <c r="I174" s="132"/>
      <c r="J174" s="151"/>
      <c r="K174" s="148">
        <f>L174+N174</f>
        <v>0</v>
      </c>
      <c r="L174" s="132"/>
      <c r="M174" s="132"/>
      <c r="N174" s="133"/>
      <c r="O174" s="131"/>
      <c r="P174" s="132"/>
      <c r="Q174" s="132"/>
      <c r="R174" s="133"/>
      <c r="S174" s="12">
        <f>T174+V174</f>
        <v>0</v>
      </c>
      <c r="T174" s="132"/>
      <c r="U174" s="132"/>
      <c r="V174" s="133"/>
    </row>
    <row r="175" spans="1:22" ht="42" thickBot="1" x14ac:dyDescent="0.3">
      <c r="A175" s="62">
        <f t="shared" si="26"/>
        <v>167</v>
      </c>
      <c r="B175" s="63" t="s">
        <v>190</v>
      </c>
      <c r="C175" s="56">
        <f t="shared" ref="C175:L175" si="30">C176+C185+SUM(C187:C196)</f>
        <v>0</v>
      </c>
      <c r="D175" s="52">
        <f t="shared" si="30"/>
        <v>0</v>
      </c>
      <c r="E175" s="52">
        <f t="shared" si="30"/>
        <v>0</v>
      </c>
      <c r="F175" s="54">
        <f t="shared" si="30"/>
        <v>0</v>
      </c>
      <c r="G175" s="64">
        <f t="shared" si="30"/>
        <v>0</v>
      </c>
      <c r="H175" s="52">
        <f t="shared" si="30"/>
        <v>0</v>
      </c>
      <c r="I175" s="52">
        <f>I176+I185+SUM(I187:I196)</f>
        <v>0</v>
      </c>
      <c r="J175" s="57">
        <f t="shared" si="30"/>
        <v>0</v>
      </c>
      <c r="K175" s="56">
        <f t="shared" si="30"/>
        <v>0</v>
      </c>
      <c r="L175" s="52">
        <f t="shared" si="30"/>
        <v>0</v>
      </c>
      <c r="M175" s="52"/>
      <c r="N175" s="66">
        <f>N176+N185+SUM(N187:N196)</f>
        <v>0</v>
      </c>
      <c r="O175" s="56"/>
      <c r="P175" s="52"/>
      <c r="Q175" s="52"/>
      <c r="R175" s="66"/>
      <c r="S175" s="56">
        <f>S176+S185+SUM(S187:S196)</f>
        <v>0</v>
      </c>
      <c r="T175" s="52">
        <f>T176+T185+SUM(T187:T196)</f>
        <v>0</v>
      </c>
      <c r="U175" s="52">
        <f>U176+U185+SUM(U187:U196)</f>
        <v>0</v>
      </c>
      <c r="V175" s="57">
        <f>V176+V185+SUM(V187:V196)</f>
        <v>0</v>
      </c>
    </row>
    <row r="176" spans="1:22" x14ac:dyDescent="0.25">
      <c r="A176" s="152">
        <f t="shared" si="26"/>
        <v>168</v>
      </c>
      <c r="B176" s="153" t="s">
        <v>121</v>
      </c>
      <c r="C176" s="122">
        <f>G176+K176+O176+S176</f>
        <v>0</v>
      </c>
      <c r="D176" s="102">
        <f>H176+L176+P176+T176</f>
        <v>0</v>
      </c>
      <c r="E176" s="102"/>
      <c r="F176" s="105">
        <f>J176+N176+R176+V176</f>
        <v>0</v>
      </c>
      <c r="G176" s="101">
        <f>G177+G179+G180+G181+G182+G183+G184</f>
        <v>0</v>
      </c>
      <c r="H176" s="102">
        <f>H177+H179+H180+H181+H182+H183+H184</f>
        <v>0</v>
      </c>
      <c r="I176" s="102"/>
      <c r="J176" s="154">
        <f>J177+J179</f>
        <v>0</v>
      </c>
      <c r="K176" s="101">
        <f>L176+N176</f>
        <v>0</v>
      </c>
      <c r="L176" s="101">
        <f>L177+L180+L181</f>
        <v>0</v>
      </c>
      <c r="M176" s="101"/>
      <c r="N176" s="155">
        <f>N177+N180+N181</f>
        <v>0</v>
      </c>
      <c r="O176" s="156"/>
      <c r="P176" s="157"/>
      <c r="Q176" s="157"/>
      <c r="R176" s="103"/>
      <c r="S176" s="123"/>
      <c r="T176" s="108"/>
      <c r="U176" s="108"/>
      <c r="V176" s="104"/>
    </row>
    <row r="177" spans="1:22" x14ac:dyDescent="0.25">
      <c r="A177" s="158">
        <f t="shared" si="26"/>
        <v>169</v>
      </c>
      <c r="B177" s="32" t="s">
        <v>191</v>
      </c>
      <c r="C177" s="12">
        <f>G177+K177+O177+S177</f>
        <v>0</v>
      </c>
      <c r="D177" s="85">
        <f>H177</f>
        <v>0</v>
      </c>
      <c r="E177" s="85"/>
      <c r="F177" s="86">
        <f>J177+N177+R177+V177</f>
        <v>0</v>
      </c>
      <c r="G177" s="87">
        <f t="shared" si="29"/>
        <v>0</v>
      </c>
      <c r="H177" s="15"/>
      <c r="I177" s="15"/>
      <c r="J177" s="24"/>
      <c r="K177" s="79">
        <f>L177+N177</f>
        <v>0</v>
      </c>
      <c r="L177" s="85"/>
      <c r="M177" s="85"/>
      <c r="N177" s="84">
        <f>N178</f>
        <v>0</v>
      </c>
      <c r="O177" s="87"/>
      <c r="P177" s="85"/>
      <c r="Q177" s="85"/>
      <c r="R177" s="84"/>
      <c r="S177" s="87"/>
      <c r="T177" s="85"/>
      <c r="U177" s="85"/>
      <c r="V177" s="84"/>
    </row>
    <row r="178" spans="1:22" x14ac:dyDescent="0.25">
      <c r="A178" s="158">
        <f t="shared" si="26"/>
        <v>170</v>
      </c>
      <c r="B178" s="32" t="s">
        <v>192</v>
      </c>
      <c r="C178" s="12">
        <f t="shared" ref="C178:E208" si="31">G178+K178+O178+S178</f>
        <v>0</v>
      </c>
      <c r="D178" s="85"/>
      <c r="E178" s="85"/>
      <c r="F178" s="86">
        <f>J178+N178+R178+V178</f>
        <v>0</v>
      </c>
      <c r="G178" s="87"/>
      <c r="H178" s="15"/>
      <c r="I178" s="85"/>
      <c r="J178" s="84"/>
      <c r="K178" s="87">
        <f>L178+N178</f>
        <v>0</v>
      </c>
      <c r="L178" s="85"/>
      <c r="M178" s="85"/>
      <c r="N178" s="84"/>
      <c r="O178" s="87"/>
      <c r="P178" s="85"/>
      <c r="Q178" s="85"/>
      <c r="R178" s="84"/>
      <c r="S178" s="87"/>
      <c r="T178" s="85"/>
      <c r="U178" s="85"/>
      <c r="V178" s="84"/>
    </row>
    <row r="179" spans="1:22" ht="26.4" x14ac:dyDescent="0.25">
      <c r="A179" s="158">
        <v>171</v>
      </c>
      <c r="B179" s="159" t="s">
        <v>193</v>
      </c>
      <c r="C179" s="148">
        <f t="shared" si="31"/>
        <v>0</v>
      </c>
      <c r="D179" s="15"/>
      <c r="E179" s="15"/>
      <c r="F179" s="86">
        <f>J179+N179+R179+V179</f>
        <v>0</v>
      </c>
      <c r="G179" s="87">
        <f t="shared" si="29"/>
        <v>0</v>
      </c>
      <c r="H179" s="15"/>
      <c r="I179" s="85"/>
      <c r="J179" s="7"/>
      <c r="K179" s="87"/>
      <c r="L179" s="85"/>
      <c r="M179" s="85"/>
      <c r="N179" s="84"/>
      <c r="O179" s="87"/>
      <c r="P179" s="85"/>
      <c r="Q179" s="85"/>
      <c r="R179" s="84"/>
      <c r="S179" s="87"/>
      <c r="T179" s="85"/>
      <c r="U179" s="85"/>
      <c r="V179" s="84"/>
    </row>
    <row r="180" spans="1:22" x14ac:dyDescent="0.25">
      <c r="A180" s="158">
        <f t="shared" si="26"/>
        <v>172</v>
      </c>
      <c r="B180" s="32" t="s">
        <v>194</v>
      </c>
      <c r="C180" s="12">
        <f t="shared" si="31"/>
        <v>0</v>
      </c>
      <c r="D180" s="85">
        <f t="shared" si="31"/>
        <v>0</v>
      </c>
      <c r="E180" s="85"/>
      <c r="F180" s="86"/>
      <c r="G180" s="87">
        <f t="shared" si="29"/>
        <v>0</v>
      </c>
      <c r="H180" s="85"/>
      <c r="I180" s="85"/>
      <c r="J180" s="84"/>
      <c r="K180" s="87"/>
      <c r="L180" s="85"/>
      <c r="M180" s="85"/>
      <c r="N180" s="84"/>
      <c r="O180" s="87"/>
      <c r="P180" s="85"/>
      <c r="Q180" s="85"/>
      <c r="R180" s="84"/>
      <c r="S180" s="87"/>
      <c r="T180" s="85"/>
      <c r="U180" s="85"/>
      <c r="V180" s="84"/>
    </row>
    <row r="181" spans="1:22" x14ac:dyDescent="0.25">
      <c r="A181" s="158">
        <f t="shared" si="26"/>
        <v>173</v>
      </c>
      <c r="B181" s="32" t="s">
        <v>186</v>
      </c>
      <c r="C181" s="12">
        <f t="shared" si="31"/>
        <v>0</v>
      </c>
      <c r="D181" s="85">
        <f t="shared" si="31"/>
        <v>0</v>
      </c>
      <c r="E181" s="85"/>
      <c r="F181" s="86"/>
      <c r="G181" s="87"/>
      <c r="H181" s="91"/>
      <c r="I181" s="91"/>
      <c r="J181" s="89"/>
      <c r="K181" s="87">
        <f>L181+N181</f>
        <v>0</v>
      </c>
      <c r="L181" s="91"/>
      <c r="M181" s="91"/>
      <c r="N181" s="89"/>
      <c r="O181" s="87"/>
      <c r="P181" s="91"/>
      <c r="Q181" s="91"/>
      <c r="R181" s="89"/>
      <c r="S181" s="87"/>
      <c r="T181" s="91"/>
      <c r="U181" s="91"/>
      <c r="V181" s="89"/>
    </row>
    <row r="182" spans="1:22" x14ac:dyDescent="0.25">
      <c r="A182" s="158">
        <v>174</v>
      </c>
      <c r="B182" s="32" t="s">
        <v>195</v>
      </c>
      <c r="C182" s="12">
        <f t="shared" si="31"/>
        <v>0</v>
      </c>
      <c r="D182" s="85">
        <f t="shared" si="31"/>
        <v>0</v>
      </c>
      <c r="E182" s="85"/>
      <c r="F182" s="86"/>
      <c r="G182" s="87">
        <f t="shared" si="29"/>
        <v>0</v>
      </c>
      <c r="H182" s="85"/>
      <c r="I182" s="91"/>
      <c r="J182" s="89"/>
      <c r="K182" s="94"/>
      <c r="L182" s="85"/>
      <c r="M182" s="91"/>
      <c r="N182" s="89"/>
      <c r="O182" s="94"/>
      <c r="P182" s="85"/>
      <c r="Q182" s="91"/>
      <c r="R182" s="89"/>
      <c r="S182" s="94"/>
      <c r="T182" s="85"/>
      <c r="U182" s="91"/>
      <c r="V182" s="89"/>
    </row>
    <row r="183" spans="1:22" x14ac:dyDescent="0.25">
      <c r="A183" s="158">
        <v>175</v>
      </c>
      <c r="B183" s="32" t="s">
        <v>196</v>
      </c>
      <c r="C183" s="12">
        <f t="shared" si="31"/>
        <v>0</v>
      </c>
      <c r="D183" s="85">
        <f t="shared" si="31"/>
        <v>0</v>
      </c>
      <c r="E183" s="85"/>
      <c r="F183" s="86"/>
      <c r="G183" s="94">
        <f t="shared" si="29"/>
        <v>0</v>
      </c>
      <c r="H183" s="85"/>
      <c r="I183" s="91"/>
      <c r="J183" s="89"/>
      <c r="K183" s="94"/>
      <c r="L183" s="85"/>
      <c r="M183" s="91"/>
      <c r="N183" s="89"/>
      <c r="O183" s="94"/>
      <c r="P183" s="85"/>
      <c r="Q183" s="91"/>
      <c r="R183" s="89"/>
      <c r="S183" s="94"/>
      <c r="T183" s="85"/>
      <c r="U183" s="91"/>
      <c r="V183" s="89"/>
    </row>
    <row r="184" spans="1:22" x14ac:dyDescent="0.25">
      <c r="A184" s="158">
        <v>176</v>
      </c>
      <c r="B184" s="32" t="s">
        <v>197</v>
      </c>
      <c r="C184" s="12">
        <f t="shared" si="31"/>
        <v>0</v>
      </c>
      <c r="D184" s="85">
        <f t="shared" si="31"/>
        <v>0</v>
      </c>
      <c r="E184" s="85"/>
      <c r="F184" s="86"/>
      <c r="G184" s="94">
        <f t="shared" si="29"/>
        <v>0</v>
      </c>
      <c r="H184" s="85"/>
      <c r="I184" s="91"/>
      <c r="J184" s="89"/>
      <c r="K184" s="94"/>
      <c r="L184" s="85"/>
      <c r="M184" s="91"/>
      <c r="N184" s="89"/>
      <c r="O184" s="94"/>
      <c r="P184" s="85"/>
      <c r="Q184" s="91"/>
      <c r="R184" s="89"/>
      <c r="S184" s="94"/>
      <c r="T184" s="85"/>
      <c r="U184" s="91"/>
      <c r="V184" s="89"/>
    </row>
    <row r="185" spans="1:22" x14ac:dyDescent="0.25">
      <c r="A185" s="158">
        <v>177</v>
      </c>
      <c r="B185" s="17" t="s">
        <v>126</v>
      </c>
      <c r="C185" s="21">
        <f t="shared" si="31"/>
        <v>0</v>
      </c>
      <c r="D185" s="19">
        <f>H185</f>
        <v>0</v>
      </c>
      <c r="E185" s="19"/>
      <c r="F185" s="20"/>
      <c r="G185" s="27">
        <f>G186</f>
        <v>0</v>
      </c>
      <c r="H185" s="19">
        <f>H186</f>
        <v>0</v>
      </c>
      <c r="I185" s="85"/>
      <c r="J185" s="89"/>
      <c r="K185" s="94"/>
      <c r="L185" s="85"/>
      <c r="M185" s="85"/>
      <c r="N185" s="89"/>
      <c r="O185" s="94"/>
      <c r="P185" s="85"/>
      <c r="Q185" s="85"/>
      <c r="R185" s="89"/>
      <c r="S185" s="94"/>
      <c r="T185" s="85"/>
      <c r="U185" s="85"/>
      <c r="V185" s="89"/>
    </row>
    <row r="186" spans="1:22" x14ac:dyDescent="0.25">
      <c r="A186" s="158">
        <f t="shared" si="26"/>
        <v>178</v>
      </c>
      <c r="B186" s="32" t="s">
        <v>198</v>
      </c>
      <c r="C186" s="12">
        <f t="shared" si="31"/>
        <v>0</v>
      </c>
      <c r="D186" s="85">
        <f t="shared" si="31"/>
        <v>0</v>
      </c>
      <c r="E186" s="85"/>
      <c r="F186" s="86"/>
      <c r="G186" s="94">
        <f t="shared" si="29"/>
        <v>0</v>
      </c>
      <c r="H186" s="85"/>
      <c r="I186" s="85"/>
      <c r="J186" s="89"/>
      <c r="K186" s="94"/>
      <c r="L186" s="85"/>
      <c r="M186" s="85"/>
      <c r="N186" s="89"/>
      <c r="O186" s="94"/>
      <c r="P186" s="85"/>
      <c r="Q186" s="85"/>
      <c r="R186" s="89"/>
      <c r="S186" s="94"/>
      <c r="T186" s="85"/>
      <c r="U186" s="85"/>
      <c r="V186" s="89"/>
    </row>
    <row r="187" spans="1:22" x14ac:dyDescent="0.25">
      <c r="A187" s="158">
        <v>179</v>
      </c>
      <c r="B187" s="17" t="s">
        <v>7</v>
      </c>
      <c r="C187" s="21">
        <f t="shared" si="31"/>
        <v>0</v>
      </c>
      <c r="D187" s="19">
        <f t="shared" si="31"/>
        <v>0</v>
      </c>
      <c r="E187" s="19">
        <f t="shared" si="31"/>
        <v>0</v>
      </c>
      <c r="F187" s="20"/>
      <c r="G187" s="21">
        <f t="shared" si="29"/>
        <v>0</v>
      </c>
      <c r="H187" s="19"/>
      <c r="I187" s="19"/>
      <c r="J187" s="24"/>
      <c r="K187" s="21"/>
      <c r="L187" s="85"/>
      <c r="M187" s="85"/>
      <c r="N187" s="84"/>
      <c r="O187" s="87"/>
      <c r="P187" s="85"/>
      <c r="Q187" s="85"/>
      <c r="R187" s="84"/>
      <c r="S187" s="21">
        <f>T187+V187</f>
        <v>0</v>
      </c>
      <c r="T187" s="19"/>
      <c r="U187" s="19"/>
      <c r="V187" s="22"/>
    </row>
    <row r="188" spans="1:22" x14ac:dyDescent="0.25">
      <c r="A188" s="158">
        <f t="shared" si="26"/>
        <v>180</v>
      </c>
      <c r="B188" s="17" t="s">
        <v>8</v>
      </c>
      <c r="C188" s="21">
        <f t="shared" si="31"/>
        <v>0</v>
      </c>
      <c r="D188" s="19">
        <f t="shared" si="31"/>
        <v>0</v>
      </c>
      <c r="E188" s="19">
        <f t="shared" si="31"/>
        <v>0</v>
      </c>
      <c r="F188" s="20"/>
      <c r="G188" s="21">
        <f t="shared" si="29"/>
        <v>0</v>
      </c>
      <c r="H188" s="19"/>
      <c r="I188" s="19"/>
      <c r="J188" s="24"/>
      <c r="K188" s="21"/>
      <c r="L188" s="85"/>
      <c r="M188" s="85"/>
      <c r="N188" s="84"/>
      <c r="O188" s="87"/>
      <c r="P188" s="85"/>
      <c r="Q188" s="85"/>
      <c r="R188" s="84"/>
      <c r="S188" s="21"/>
      <c r="T188" s="19"/>
      <c r="U188" s="19"/>
      <c r="V188" s="22"/>
    </row>
    <row r="189" spans="1:22" x14ac:dyDescent="0.25">
      <c r="A189" s="158">
        <f t="shared" si="26"/>
        <v>181</v>
      </c>
      <c r="B189" s="17" t="s">
        <v>9</v>
      </c>
      <c r="C189" s="21">
        <f t="shared" si="31"/>
        <v>0</v>
      </c>
      <c r="D189" s="19">
        <f t="shared" si="31"/>
        <v>0</v>
      </c>
      <c r="E189" s="19">
        <f t="shared" si="31"/>
        <v>0</v>
      </c>
      <c r="F189" s="20"/>
      <c r="G189" s="21">
        <f t="shared" si="29"/>
        <v>0</v>
      </c>
      <c r="H189" s="19"/>
      <c r="I189" s="19"/>
      <c r="J189" s="22"/>
      <c r="K189" s="21"/>
      <c r="L189" s="85"/>
      <c r="M189" s="85"/>
      <c r="N189" s="84"/>
      <c r="O189" s="87"/>
      <c r="P189" s="85"/>
      <c r="Q189" s="85"/>
      <c r="R189" s="84"/>
      <c r="S189" s="21">
        <f>T189+V189</f>
        <v>0</v>
      </c>
      <c r="T189" s="19"/>
      <c r="U189" s="19"/>
      <c r="V189" s="22"/>
    </row>
    <row r="190" spans="1:22" x14ac:dyDescent="0.25">
      <c r="A190" s="158">
        <f t="shared" si="26"/>
        <v>182</v>
      </c>
      <c r="B190" s="17" t="s">
        <v>10</v>
      </c>
      <c r="C190" s="21">
        <f t="shared" si="31"/>
        <v>0</v>
      </c>
      <c r="D190" s="19">
        <f t="shared" si="31"/>
        <v>0</v>
      </c>
      <c r="E190" s="19">
        <f t="shared" si="31"/>
        <v>0</v>
      </c>
      <c r="F190" s="20"/>
      <c r="G190" s="21">
        <f t="shared" si="29"/>
        <v>0</v>
      </c>
      <c r="H190" s="19"/>
      <c r="I190" s="19"/>
      <c r="J190" s="22"/>
      <c r="K190" s="21"/>
      <c r="L190" s="85"/>
      <c r="M190" s="85"/>
      <c r="N190" s="84"/>
      <c r="O190" s="87"/>
      <c r="P190" s="85"/>
      <c r="Q190" s="85"/>
      <c r="R190" s="84"/>
      <c r="S190" s="21"/>
      <c r="T190" s="19"/>
      <c r="U190" s="19"/>
      <c r="V190" s="22"/>
    </row>
    <row r="191" spans="1:22" x14ac:dyDescent="0.25">
      <c r="A191" s="158">
        <f t="shared" si="26"/>
        <v>183</v>
      </c>
      <c r="B191" s="17" t="s">
        <v>11</v>
      </c>
      <c r="C191" s="21">
        <f t="shared" si="31"/>
        <v>0</v>
      </c>
      <c r="D191" s="19">
        <f t="shared" si="31"/>
        <v>0</v>
      </c>
      <c r="E191" s="19">
        <f t="shared" si="31"/>
        <v>0</v>
      </c>
      <c r="F191" s="20"/>
      <c r="G191" s="21">
        <f t="shared" si="29"/>
        <v>0</v>
      </c>
      <c r="H191" s="19"/>
      <c r="I191" s="19"/>
      <c r="J191" s="22"/>
      <c r="K191" s="21"/>
      <c r="L191" s="85"/>
      <c r="M191" s="85"/>
      <c r="N191" s="84"/>
      <c r="O191" s="87"/>
      <c r="P191" s="85"/>
      <c r="Q191" s="85"/>
      <c r="R191" s="84"/>
      <c r="S191" s="21"/>
      <c r="T191" s="19"/>
      <c r="U191" s="19"/>
      <c r="V191" s="22"/>
    </row>
    <row r="192" spans="1:22" x14ac:dyDescent="0.25">
      <c r="A192" s="158">
        <f t="shared" si="26"/>
        <v>184</v>
      </c>
      <c r="B192" s="17" t="s">
        <v>12</v>
      </c>
      <c r="C192" s="21">
        <f t="shared" si="31"/>
        <v>0</v>
      </c>
      <c r="D192" s="19">
        <f t="shared" si="31"/>
        <v>0</v>
      </c>
      <c r="E192" s="19">
        <f t="shared" si="31"/>
        <v>0</v>
      </c>
      <c r="F192" s="20"/>
      <c r="G192" s="21">
        <f t="shared" si="29"/>
        <v>0</v>
      </c>
      <c r="H192" s="19"/>
      <c r="I192" s="19"/>
      <c r="J192" s="22"/>
      <c r="K192" s="21"/>
      <c r="L192" s="85"/>
      <c r="M192" s="85"/>
      <c r="N192" s="84"/>
      <c r="O192" s="87"/>
      <c r="P192" s="85"/>
      <c r="Q192" s="85"/>
      <c r="R192" s="84"/>
      <c r="S192" s="21"/>
      <c r="T192" s="19"/>
      <c r="U192" s="19"/>
      <c r="V192" s="22"/>
    </row>
    <row r="193" spans="1:22" x14ac:dyDescent="0.25">
      <c r="A193" s="158">
        <f t="shared" si="26"/>
        <v>185</v>
      </c>
      <c r="B193" s="17" t="s">
        <v>13</v>
      </c>
      <c r="C193" s="21">
        <f t="shared" si="31"/>
        <v>0</v>
      </c>
      <c r="D193" s="19">
        <f t="shared" si="31"/>
        <v>0</v>
      </c>
      <c r="E193" s="19">
        <f t="shared" si="31"/>
        <v>0</v>
      </c>
      <c r="F193" s="20"/>
      <c r="G193" s="21">
        <f t="shared" si="29"/>
        <v>0</v>
      </c>
      <c r="H193" s="19"/>
      <c r="I193" s="19"/>
      <c r="J193" s="22"/>
      <c r="K193" s="21"/>
      <c r="L193" s="85"/>
      <c r="M193" s="85"/>
      <c r="N193" s="84"/>
      <c r="O193" s="87"/>
      <c r="P193" s="85"/>
      <c r="Q193" s="85"/>
      <c r="R193" s="84"/>
      <c r="S193" s="21">
        <f>T193+V193</f>
        <v>0</v>
      </c>
      <c r="T193" s="19"/>
      <c r="U193" s="19"/>
      <c r="V193" s="22"/>
    </row>
    <row r="194" spans="1:22" x14ac:dyDescent="0.25">
      <c r="A194" s="158">
        <f t="shared" si="26"/>
        <v>186</v>
      </c>
      <c r="B194" s="17" t="s">
        <v>14</v>
      </c>
      <c r="C194" s="21">
        <f t="shared" si="31"/>
        <v>0</v>
      </c>
      <c r="D194" s="19">
        <f t="shared" si="31"/>
        <v>0</v>
      </c>
      <c r="E194" s="19">
        <f t="shared" si="31"/>
        <v>0</v>
      </c>
      <c r="F194" s="20"/>
      <c r="G194" s="21">
        <f t="shared" si="29"/>
        <v>0</v>
      </c>
      <c r="H194" s="19"/>
      <c r="I194" s="19"/>
      <c r="J194" s="22"/>
      <c r="K194" s="21"/>
      <c r="L194" s="85"/>
      <c r="M194" s="85"/>
      <c r="N194" s="84"/>
      <c r="O194" s="87"/>
      <c r="P194" s="85"/>
      <c r="Q194" s="85"/>
      <c r="R194" s="84"/>
      <c r="S194" s="21"/>
      <c r="T194" s="19"/>
      <c r="U194" s="19"/>
      <c r="V194" s="22"/>
    </row>
    <row r="195" spans="1:22" x14ac:dyDescent="0.25">
      <c r="A195" s="158">
        <f t="shared" si="26"/>
        <v>187</v>
      </c>
      <c r="B195" s="17" t="s">
        <v>28</v>
      </c>
      <c r="C195" s="21">
        <f t="shared" si="31"/>
        <v>0</v>
      </c>
      <c r="D195" s="19">
        <f t="shared" si="31"/>
        <v>0</v>
      </c>
      <c r="E195" s="19">
        <f t="shared" si="31"/>
        <v>0</v>
      </c>
      <c r="F195" s="20"/>
      <c r="G195" s="21">
        <f t="shared" si="29"/>
        <v>0</v>
      </c>
      <c r="H195" s="19"/>
      <c r="I195" s="19"/>
      <c r="J195" s="22"/>
      <c r="K195" s="21"/>
      <c r="L195" s="85"/>
      <c r="M195" s="85"/>
      <c r="N195" s="84"/>
      <c r="O195" s="87"/>
      <c r="P195" s="85"/>
      <c r="Q195" s="85"/>
      <c r="R195" s="84"/>
      <c r="S195" s="21"/>
      <c r="T195" s="19"/>
      <c r="U195" s="19"/>
      <c r="V195" s="22"/>
    </row>
    <row r="196" spans="1:22" ht="13.8" thickBot="1" x14ac:dyDescent="0.3">
      <c r="A196" s="160">
        <f t="shared" si="26"/>
        <v>188</v>
      </c>
      <c r="B196" s="17" t="s">
        <v>16</v>
      </c>
      <c r="C196" s="21">
        <f t="shared" si="31"/>
        <v>0</v>
      </c>
      <c r="D196" s="19">
        <f t="shared" si="31"/>
        <v>0</v>
      </c>
      <c r="E196" s="19">
        <f>I196+M196+Q196+U196</f>
        <v>0</v>
      </c>
      <c r="F196" s="20"/>
      <c r="G196" s="49">
        <f t="shared" si="29"/>
        <v>0</v>
      </c>
      <c r="H196" s="48"/>
      <c r="I196" s="48"/>
      <c r="J196" s="51"/>
      <c r="K196" s="21"/>
      <c r="L196" s="85"/>
      <c r="M196" s="85"/>
      <c r="N196" s="84"/>
      <c r="O196" s="87"/>
      <c r="P196" s="85"/>
      <c r="Q196" s="85"/>
      <c r="R196" s="84"/>
      <c r="S196" s="49">
        <f>T196+V196</f>
        <v>0</v>
      </c>
      <c r="T196" s="48"/>
      <c r="U196" s="48"/>
      <c r="V196" s="51"/>
    </row>
    <row r="197" spans="1:22" ht="28.2" thickBot="1" x14ac:dyDescent="0.3">
      <c r="A197" s="62">
        <v>189</v>
      </c>
      <c r="B197" s="63" t="s">
        <v>199</v>
      </c>
      <c r="C197" s="64">
        <f t="shared" si="31"/>
        <v>0</v>
      </c>
      <c r="D197" s="52">
        <f t="shared" si="31"/>
        <v>0</v>
      </c>
      <c r="E197" s="52"/>
      <c r="F197" s="57"/>
      <c r="G197" s="64">
        <f>G198+G200+G203+G206</f>
        <v>0</v>
      </c>
      <c r="H197" s="52">
        <f>H198+H200+H203+H206</f>
        <v>0</v>
      </c>
      <c r="I197" s="52"/>
      <c r="J197" s="57"/>
      <c r="K197" s="65">
        <f>K201</f>
        <v>0</v>
      </c>
      <c r="L197" s="52">
        <f>L201</f>
        <v>0</v>
      </c>
      <c r="M197" s="52"/>
      <c r="N197" s="57"/>
      <c r="O197" s="64"/>
      <c r="P197" s="52"/>
      <c r="Q197" s="52"/>
      <c r="R197" s="57"/>
      <c r="S197" s="52"/>
      <c r="T197" s="52"/>
      <c r="U197" s="52"/>
      <c r="V197" s="57"/>
    </row>
    <row r="198" spans="1:22" x14ac:dyDescent="0.25">
      <c r="A198" s="67">
        <v>190</v>
      </c>
      <c r="B198" s="81" t="s">
        <v>123</v>
      </c>
      <c r="C198" s="76">
        <f t="shared" si="31"/>
        <v>0</v>
      </c>
      <c r="D198" s="74">
        <f t="shared" si="31"/>
        <v>0</v>
      </c>
      <c r="E198" s="74"/>
      <c r="F198" s="77"/>
      <c r="G198" s="78">
        <f>G199</f>
        <v>0</v>
      </c>
      <c r="H198" s="74">
        <f>H199</f>
        <v>0</v>
      </c>
      <c r="I198" s="108"/>
      <c r="J198" s="100"/>
      <c r="K198" s="161"/>
      <c r="L198" s="108"/>
      <c r="M198" s="108"/>
      <c r="N198" s="162"/>
      <c r="O198" s="161"/>
      <c r="P198" s="108"/>
      <c r="Q198" s="108"/>
      <c r="R198" s="162"/>
      <c r="S198" s="161"/>
      <c r="T198" s="108"/>
      <c r="U198" s="108"/>
      <c r="V198" s="162"/>
    </row>
    <row r="199" spans="1:22" x14ac:dyDescent="0.25">
      <c r="A199" s="82">
        <f t="shared" si="26"/>
        <v>191</v>
      </c>
      <c r="B199" s="32" t="s">
        <v>200</v>
      </c>
      <c r="C199" s="12">
        <f t="shared" si="31"/>
        <v>0</v>
      </c>
      <c r="D199" s="85">
        <f t="shared" si="31"/>
        <v>0</v>
      </c>
      <c r="E199" s="85"/>
      <c r="F199" s="84"/>
      <c r="G199" s="91">
        <f t="shared" si="29"/>
        <v>0</v>
      </c>
      <c r="H199" s="86"/>
      <c r="I199" s="85"/>
      <c r="J199" s="86"/>
      <c r="K199" s="87"/>
      <c r="L199" s="85"/>
      <c r="M199" s="85"/>
      <c r="N199" s="84"/>
      <c r="O199" s="87"/>
      <c r="P199" s="85"/>
      <c r="Q199" s="85"/>
      <c r="R199" s="84"/>
      <c r="S199" s="87"/>
      <c r="T199" s="85"/>
      <c r="U199" s="85"/>
      <c r="V199" s="84"/>
    </row>
    <row r="200" spans="1:22" x14ac:dyDescent="0.25">
      <c r="A200" s="82">
        <f t="shared" si="26"/>
        <v>192</v>
      </c>
      <c r="B200" s="17" t="s">
        <v>201</v>
      </c>
      <c r="C200" s="21">
        <f t="shared" si="31"/>
        <v>0</v>
      </c>
      <c r="D200" s="19">
        <f t="shared" si="31"/>
        <v>0</v>
      </c>
      <c r="E200" s="19"/>
      <c r="F200" s="22"/>
      <c r="G200" s="88">
        <f>G202</f>
        <v>0</v>
      </c>
      <c r="H200" s="19">
        <f>H202</f>
        <v>0</v>
      </c>
      <c r="I200" s="85"/>
      <c r="J200" s="86"/>
      <c r="K200" s="27">
        <f>K201</f>
        <v>0</v>
      </c>
      <c r="L200" s="19">
        <f>L201</f>
        <v>0</v>
      </c>
      <c r="M200" s="85"/>
      <c r="N200" s="84"/>
      <c r="O200" s="87"/>
      <c r="P200" s="85"/>
      <c r="Q200" s="85"/>
      <c r="R200" s="84"/>
      <c r="S200" s="87"/>
      <c r="T200" s="85"/>
      <c r="U200" s="85"/>
      <c r="V200" s="84"/>
    </row>
    <row r="201" spans="1:22" x14ac:dyDescent="0.25">
      <c r="A201" s="82">
        <f t="shared" si="26"/>
        <v>193</v>
      </c>
      <c r="B201" s="32" t="s">
        <v>202</v>
      </c>
      <c r="C201" s="12">
        <f t="shared" si="31"/>
        <v>0</v>
      </c>
      <c r="D201" s="15">
        <f t="shared" si="31"/>
        <v>0</v>
      </c>
      <c r="E201" s="19"/>
      <c r="F201" s="22"/>
      <c r="G201" s="18"/>
      <c r="H201" s="88"/>
      <c r="I201" s="85"/>
      <c r="J201" s="86"/>
      <c r="K201" s="87">
        <f>L201+N201</f>
        <v>0</v>
      </c>
      <c r="L201" s="85"/>
      <c r="M201" s="85"/>
      <c r="N201" s="84"/>
      <c r="O201" s="87"/>
      <c r="P201" s="85"/>
      <c r="Q201" s="85"/>
      <c r="R201" s="84"/>
      <c r="S201" s="87"/>
      <c r="T201" s="85"/>
      <c r="U201" s="85"/>
      <c r="V201" s="84"/>
    </row>
    <row r="202" spans="1:22" x14ac:dyDescent="0.25">
      <c r="A202" s="82">
        <f t="shared" si="26"/>
        <v>194</v>
      </c>
      <c r="B202" s="32" t="s">
        <v>203</v>
      </c>
      <c r="C202" s="12">
        <f t="shared" si="31"/>
        <v>0</v>
      </c>
      <c r="D202" s="85">
        <f t="shared" si="31"/>
        <v>0</v>
      </c>
      <c r="E202" s="85"/>
      <c r="F202" s="84"/>
      <c r="G202" s="91">
        <f t="shared" si="29"/>
        <v>0</v>
      </c>
      <c r="H202" s="86"/>
      <c r="I202" s="85"/>
      <c r="J202" s="86"/>
      <c r="K202" s="87"/>
      <c r="L202" s="85"/>
      <c r="M202" s="85"/>
      <c r="N202" s="84"/>
      <c r="O202" s="87"/>
      <c r="P202" s="85"/>
      <c r="Q202" s="85"/>
      <c r="R202" s="84"/>
      <c r="S202" s="87"/>
      <c r="T202" s="85"/>
      <c r="U202" s="85"/>
      <c r="V202" s="84"/>
    </row>
    <row r="203" spans="1:22" x14ac:dyDescent="0.25">
      <c r="A203" s="82">
        <v>195</v>
      </c>
      <c r="B203" s="17" t="s">
        <v>126</v>
      </c>
      <c r="C203" s="21">
        <f t="shared" si="31"/>
        <v>0</v>
      </c>
      <c r="D203" s="19">
        <f t="shared" si="31"/>
        <v>0</v>
      </c>
      <c r="E203" s="19"/>
      <c r="F203" s="22"/>
      <c r="G203" s="88">
        <f t="shared" si="29"/>
        <v>0</v>
      </c>
      <c r="H203" s="19">
        <f>H204+H205</f>
        <v>0</v>
      </c>
      <c r="I203" s="85"/>
      <c r="J203" s="86"/>
      <c r="K203" s="87"/>
      <c r="L203" s="85"/>
      <c r="M203" s="85"/>
      <c r="N203" s="84"/>
      <c r="O203" s="87"/>
      <c r="P203" s="85"/>
      <c r="Q203" s="85"/>
      <c r="R203" s="84"/>
      <c r="S203" s="27"/>
      <c r="T203" s="19"/>
      <c r="U203" s="85"/>
      <c r="V203" s="84"/>
    </row>
    <row r="204" spans="1:22" ht="26.4" x14ac:dyDescent="0.25">
      <c r="A204" s="82">
        <f t="shared" si="26"/>
        <v>196</v>
      </c>
      <c r="B204" s="95" t="s">
        <v>204</v>
      </c>
      <c r="C204" s="12">
        <f t="shared" si="31"/>
        <v>0</v>
      </c>
      <c r="D204" s="15">
        <f t="shared" si="31"/>
        <v>0</v>
      </c>
      <c r="E204" s="42"/>
      <c r="F204" s="43"/>
      <c r="G204" s="10">
        <f t="shared" si="29"/>
        <v>0</v>
      </c>
      <c r="H204" s="163"/>
      <c r="I204" s="132"/>
      <c r="J204" s="151"/>
      <c r="K204" s="131"/>
      <c r="L204" s="132"/>
      <c r="M204" s="132"/>
      <c r="N204" s="133"/>
      <c r="O204" s="131"/>
      <c r="P204" s="132"/>
      <c r="Q204" s="132"/>
      <c r="R204" s="133"/>
      <c r="S204" s="131"/>
      <c r="T204" s="132"/>
      <c r="U204" s="132"/>
      <c r="V204" s="133"/>
    </row>
    <row r="205" spans="1:22" x14ac:dyDescent="0.25">
      <c r="A205" s="82">
        <f t="shared" si="26"/>
        <v>197</v>
      </c>
      <c r="B205" s="17" t="s">
        <v>205</v>
      </c>
      <c r="C205" s="12">
        <f t="shared" si="31"/>
        <v>0</v>
      </c>
      <c r="D205" s="15">
        <f t="shared" si="31"/>
        <v>0</v>
      </c>
      <c r="E205" s="36"/>
      <c r="F205" s="39"/>
      <c r="G205" s="91">
        <f t="shared" si="29"/>
        <v>0</v>
      </c>
      <c r="H205" s="42"/>
      <c r="I205" s="132"/>
      <c r="J205" s="151"/>
      <c r="K205" s="131"/>
      <c r="L205" s="132"/>
      <c r="M205" s="132"/>
      <c r="N205" s="133"/>
      <c r="O205" s="131"/>
      <c r="P205" s="132"/>
      <c r="Q205" s="132"/>
      <c r="R205" s="133"/>
      <c r="S205" s="15"/>
      <c r="T205" s="132"/>
      <c r="U205" s="132"/>
      <c r="V205" s="133"/>
    </row>
    <row r="206" spans="1:22" x14ac:dyDescent="0.25">
      <c r="A206" s="82">
        <v>198</v>
      </c>
      <c r="B206" s="17" t="s">
        <v>36</v>
      </c>
      <c r="C206" s="21">
        <f t="shared" si="31"/>
        <v>0</v>
      </c>
      <c r="D206" s="19">
        <f t="shared" si="31"/>
        <v>0</v>
      </c>
      <c r="E206" s="36"/>
      <c r="F206" s="39"/>
      <c r="G206" s="18">
        <f t="shared" si="29"/>
        <v>0</v>
      </c>
      <c r="H206" s="36">
        <f>H207</f>
        <v>0</v>
      </c>
      <c r="I206" s="132"/>
      <c r="J206" s="164"/>
      <c r="K206" s="165"/>
      <c r="L206" s="132"/>
      <c r="M206" s="132"/>
      <c r="N206" s="166"/>
      <c r="O206" s="131"/>
      <c r="P206" s="132"/>
      <c r="Q206" s="132"/>
      <c r="R206" s="166"/>
      <c r="S206" s="165"/>
      <c r="T206" s="132"/>
      <c r="U206" s="132"/>
      <c r="V206" s="166"/>
    </row>
    <row r="207" spans="1:22" ht="13.8" thickBot="1" x14ac:dyDescent="0.3">
      <c r="A207" s="111">
        <v>199</v>
      </c>
      <c r="B207" s="127" t="s">
        <v>206</v>
      </c>
      <c r="C207" s="41">
        <f t="shared" si="31"/>
        <v>0</v>
      </c>
      <c r="D207" s="42">
        <f t="shared" si="31"/>
        <v>0</v>
      </c>
      <c r="E207" s="36"/>
      <c r="F207" s="39"/>
      <c r="G207" s="150">
        <f t="shared" si="29"/>
        <v>0</v>
      </c>
      <c r="H207" s="42"/>
      <c r="I207" s="132"/>
      <c r="J207" s="164"/>
      <c r="K207" s="165"/>
      <c r="L207" s="132"/>
      <c r="M207" s="132"/>
      <c r="N207" s="166"/>
      <c r="O207" s="131"/>
      <c r="P207" s="132"/>
      <c r="Q207" s="132"/>
      <c r="R207" s="166"/>
      <c r="S207" s="165"/>
      <c r="T207" s="132"/>
      <c r="U207" s="132"/>
      <c r="V207" s="166"/>
    </row>
    <row r="208" spans="1:22" ht="13.8" thickBot="1" x14ac:dyDescent="0.3">
      <c r="A208" s="62">
        <v>200</v>
      </c>
      <c r="B208" s="167" t="s">
        <v>207</v>
      </c>
      <c r="C208" s="117">
        <f t="shared" si="31"/>
        <v>12693.383999999998</v>
      </c>
      <c r="D208" s="118">
        <f t="shared" si="31"/>
        <v>12681.564999999999</v>
      </c>
      <c r="E208" s="52">
        <f>I208+M208+Q208+U208</f>
        <v>8236.3879999999972</v>
      </c>
      <c r="F208" s="53">
        <f>J208+N208+R208+V208</f>
        <v>11.819000000000001</v>
      </c>
      <c r="G208" s="118">
        <f>G9+G44+G99+G140+G175+G197</f>
        <v>5817.7960000000003</v>
      </c>
      <c r="H208" s="118">
        <f>H9+H44+H99+H140+H175+H197</f>
        <v>5807.9770000000008</v>
      </c>
      <c r="I208" s="52">
        <f>I9+I44+I99+I140+I175+I197</f>
        <v>3611.0589999999993</v>
      </c>
      <c r="J208" s="118">
        <f>J9+J44+J99+J140+J175+J197</f>
        <v>9.8190000000000008</v>
      </c>
      <c r="K208" s="56">
        <f>K9+K44+K99+K140+K175+K197</f>
        <v>239.86199999999997</v>
      </c>
      <c r="L208" s="52">
        <f>L9+L44+L140+L175+L197</f>
        <v>239.86199999999997</v>
      </c>
      <c r="M208" s="52">
        <f>M9+M44+M140+M175+M197</f>
        <v>82.593000000000004</v>
      </c>
      <c r="N208" s="66">
        <f>N9+N44+N99+N140+N175+N197</f>
        <v>0</v>
      </c>
      <c r="O208" s="64">
        <f>O9+O44+O99+O140+O175+O197</f>
        <v>6048.3999999999978</v>
      </c>
      <c r="P208" s="52">
        <f>P9+P44+P99+P140+P175+P197</f>
        <v>6048.3999999999978</v>
      </c>
      <c r="Q208" s="52">
        <f>Q9+Q44+Q99+Q140+Q175+Q197</f>
        <v>4518.9329999999982</v>
      </c>
      <c r="R208" s="52"/>
      <c r="S208" s="58">
        <f>S9+S44+S99+S140+S175+S197</f>
        <v>587.32600000000002</v>
      </c>
      <c r="T208" s="118">
        <f>T9+T44+T99+T140+T175+T197</f>
        <v>585.32600000000002</v>
      </c>
      <c r="U208" s="118">
        <f>U9+U44+U99+U140+U175+U197</f>
        <v>23.803000000000004</v>
      </c>
      <c r="V208" s="57">
        <f>V9+V20+SUM(V34:V43)+V44+V99+V140+V175+V197</f>
        <v>2</v>
      </c>
    </row>
    <row r="211" spans="2:2" x14ac:dyDescent="0.25">
      <c r="B211" s="5" t="s">
        <v>106</v>
      </c>
    </row>
    <row r="212" spans="2:2" x14ac:dyDescent="0.25">
      <c r="B212" s="5" t="s">
        <v>212</v>
      </c>
    </row>
    <row r="213" spans="2:2" x14ac:dyDescent="0.25">
      <c r="B213" s="5" t="s">
        <v>208</v>
      </c>
    </row>
    <row r="214" spans="2:2" x14ac:dyDescent="0.25">
      <c r="B214" s="5" t="s">
        <v>107</v>
      </c>
    </row>
  </sheetData>
  <mergeCells count="24">
    <mergeCell ref="A6:A8"/>
    <mergeCell ref="B6:B8"/>
    <mergeCell ref="C6:C8"/>
    <mergeCell ref="D6:F6"/>
    <mergeCell ref="G6:G8"/>
    <mergeCell ref="S6:S8"/>
    <mergeCell ref="T6:V6"/>
    <mergeCell ref="T7:U7"/>
    <mergeCell ref="V7:V8"/>
    <mergeCell ref="N7:N8"/>
    <mergeCell ref="P7:Q7"/>
    <mergeCell ref="R7:R8"/>
    <mergeCell ref="O6:O8"/>
    <mergeCell ref="P6:R6"/>
    <mergeCell ref="C3:J3"/>
    <mergeCell ref="C4:I4"/>
    <mergeCell ref="H7:I7"/>
    <mergeCell ref="J7:J8"/>
    <mergeCell ref="L7:M7"/>
    <mergeCell ref="K6:K8"/>
    <mergeCell ref="L6:N6"/>
    <mergeCell ref="H6:J6"/>
    <mergeCell ref="D7:E7"/>
    <mergeCell ref="F7:F8"/>
  </mergeCells>
  <pageMargins left="0.35433070866141736" right="0" top="0.78740157480314965" bottom="0.19685039370078741" header="0.51181102362204722" footer="0.51181102362204722"/>
  <pageSetup paperSize="9" scale="66"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T200"/>
  <sheetViews>
    <sheetView topLeftCell="C3" zoomScaleNormal="100" workbookViewId="0">
      <pane xSplit="2" ySplit="14" topLeftCell="E175" activePane="bottomRight" state="frozen"/>
      <selection activeCell="C4" sqref="C4"/>
      <selection pane="topRight" activeCell="E4" sqref="E4"/>
      <selection pane="bottomLeft" activeCell="C17" sqref="C17"/>
      <selection pane="bottomRight" activeCell="P10" sqref="P10"/>
    </sheetView>
  </sheetViews>
  <sheetFormatPr defaultRowHeight="13.2" x14ac:dyDescent="0.25"/>
  <cols>
    <col min="1" max="2" width="9.109375" hidden="1" customWidth="1"/>
    <col min="3" max="3" width="4.44140625" customWidth="1"/>
    <col min="4" max="4" width="48.33203125" customWidth="1"/>
    <col min="5" max="5" width="12.6640625" customWidth="1"/>
    <col min="6" max="6" width="14.44140625" customWidth="1"/>
    <col min="7" max="7" width="11.6640625" customWidth="1"/>
    <col min="8" max="8" width="13.44140625" customWidth="1"/>
    <col min="9" max="9" width="11.5546875" customWidth="1"/>
    <col min="10" max="10" width="11.33203125" customWidth="1"/>
    <col min="11" max="11" width="11.6640625" customWidth="1"/>
    <col min="12" max="12" width="11.33203125" customWidth="1"/>
    <col min="13" max="13" width="11.6640625" customWidth="1"/>
    <col min="14" max="14" width="11.33203125" customWidth="1"/>
    <col min="15" max="15" width="12.5546875" customWidth="1"/>
    <col min="16" max="16" width="11.6640625" customWidth="1"/>
  </cols>
  <sheetData>
    <row r="1" spans="3:16" hidden="1" x14ac:dyDescent="0.25"/>
    <row r="2" spans="3:16" hidden="1" x14ac:dyDescent="0.25">
      <c r="G2" s="1031"/>
      <c r="H2" s="1031"/>
    </row>
    <row r="4" spans="3:16" x14ac:dyDescent="0.25">
      <c r="I4" s="169"/>
      <c r="J4" s="169"/>
      <c r="K4" s="169" t="s">
        <v>25</v>
      </c>
      <c r="L4" s="169"/>
      <c r="M4" s="169"/>
      <c r="N4" s="169"/>
    </row>
    <row r="5" spans="3:16" x14ac:dyDescent="0.25">
      <c r="I5" s="169"/>
      <c r="J5" s="169"/>
      <c r="K5" s="169" t="s">
        <v>465</v>
      </c>
      <c r="L5" s="174"/>
      <c r="M5" s="174"/>
      <c r="N5" s="169"/>
    </row>
    <row r="6" spans="3:16" x14ac:dyDescent="0.25">
      <c r="I6" s="169"/>
      <c r="J6" s="169"/>
      <c r="K6" s="169" t="s">
        <v>41</v>
      </c>
      <c r="L6" s="169"/>
      <c r="M6" s="169"/>
      <c r="N6" s="169"/>
    </row>
    <row r="7" spans="3:16" x14ac:dyDescent="0.25">
      <c r="I7" s="1011" t="s">
        <v>670</v>
      </c>
      <c r="J7" s="1062"/>
      <c r="K7" s="1062"/>
      <c r="L7" s="1062"/>
      <c r="M7" s="1062"/>
      <c r="N7" s="1062"/>
    </row>
    <row r="8" spans="3:16" x14ac:dyDescent="0.25">
      <c r="I8" s="169"/>
      <c r="J8" s="1011" t="s">
        <v>835</v>
      </c>
      <c r="K8" s="1062"/>
      <c r="L8" s="1062"/>
      <c r="M8" s="1062"/>
      <c r="N8" s="1062"/>
    </row>
    <row r="9" spans="3:16" x14ac:dyDescent="0.25">
      <c r="I9" s="169"/>
      <c r="J9" s="169"/>
      <c r="K9" s="1063" t="s">
        <v>525</v>
      </c>
      <c r="L9" s="1063"/>
      <c r="M9" s="1063"/>
      <c r="N9" s="187"/>
    </row>
    <row r="10" spans="3:16" x14ac:dyDescent="0.25">
      <c r="K10" s="6"/>
      <c r="L10" s="6"/>
      <c r="M10" s="8"/>
    </row>
    <row r="11" spans="3:16" ht="15.6" x14ac:dyDescent="0.25">
      <c r="C11" s="5" t="s">
        <v>40</v>
      </c>
      <c r="D11" s="1059" t="s">
        <v>415</v>
      </c>
      <c r="E11" s="1060"/>
      <c r="F11" s="1060"/>
      <c r="G11" s="1060"/>
      <c r="H11" s="1060"/>
      <c r="I11" s="1060"/>
      <c r="J11" s="1060"/>
      <c r="K11" s="169"/>
      <c r="L11" s="174"/>
      <c r="M11" s="174"/>
      <c r="N11" s="174"/>
      <c r="O11" s="169"/>
      <c r="P11" s="169"/>
    </row>
    <row r="12" spans="3:16" x14ac:dyDescent="0.25">
      <c r="D12" s="169"/>
      <c r="E12" s="1061"/>
      <c r="F12" s="1061"/>
      <c r="G12" s="1061"/>
      <c r="H12" s="1061"/>
      <c r="I12" s="169"/>
      <c r="J12" s="169"/>
      <c r="K12" s="169"/>
      <c r="L12" s="169"/>
      <c r="M12" s="169"/>
      <c r="N12" s="169"/>
      <c r="O12" s="169"/>
      <c r="P12" s="169"/>
    </row>
    <row r="13" spans="3:16" x14ac:dyDescent="0.25">
      <c r="D13" s="169"/>
      <c r="E13" s="175"/>
      <c r="F13" s="175"/>
      <c r="G13" s="175"/>
      <c r="H13" s="175"/>
      <c r="I13" s="169"/>
      <c r="J13" s="169"/>
      <c r="K13" s="169"/>
      <c r="L13" s="169"/>
      <c r="M13" s="169"/>
      <c r="N13" s="169"/>
      <c r="O13" s="169"/>
      <c r="P13" s="169"/>
    </row>
    <row r="14" spans="3:16" ht="13.8" thickBot="1" x14ac:dyDescent="0.3">
      <c r="C14" s="186"/>
      <c r="D14" s="186"/>
      <c r="E14" s="186"/>
      <c r="F14" s="186"/>
      <c r="G14" s="186"/>
      <c r="H14" s="186"/>
      <c r="I14" s="186"/>
      <c r="J14" s="186"/>
      <c r="K14" s="186"/>
      <c r="L14" s="186" t="s">
        <v>503</v>
      </c>
      <c r="M14" s="186"/>
      <c r="N14" s="186"/>
      <c r="O14" s="186"/>
      <c r="P14" s="186"/>
    </row>
    <row r="15" spans="3:16" ht="12.75" customHeight="1" x14ac:dyDescent="0.25">
      <c r="C15" s="1054" t="s">
        <v>0</v>
      </c>
      <c r="D15" s="1056" t="s">
        <v>42</v>
      </c>
      <c r="E15" s="1052" t="s">
        <v>43</v>
      </c>
      <c r="F15" s="1058"/>
      <c r="G15" s="1052" t="s">
        <v>45</v>
      </c>
      <c r="H15" s="1058"/>
      <c r="I15" s="1052" t="s">
        <v>286</v>
      </c>
      <c r="J15" s="1058"/>
      <c r="K15" s="1052" t="s">
        <v>285</v>
      </c>
      <c r="L15" s="1058"/>
      <c r="M15" s="1052" t="s">
        <v>47</v>
      </c>
      <c r="N15" s="1064"/>
      <c r="O15" s="1052" t="s">
        <v>517</v>
      </c>
      <c r="P15" s="1053"/>
    </row>
    <row r="16" spans="3:16" ht="27" thickBot="1" x14ac:dyDescent="0.3">
      <c r="C16" s="1055"/>
      <c r="D16" s="1057"/>
      <c r="E16" s="266" t="s">
        <v>43</v>
      </c>
      <c r="F16" s="267" t="s">
        <v>486</v>
      </c>
      <c r="G16" s="266" t="s">
        <v>43</v>
      </c>
      <c r="H16" s="267" t="s">
        <v>486</v>
      </c>
      <c r="I16" s="266" t="s">
        <v>43</v>
      </c>
      <c r="J16" s="267" t="s">
        <v>486</v>
      </c>
      <c r="K16" s="266" t="s">
        <v>43</v>
      </c>
      <c r="L16" s="267" t="s">
        <v>486</v>
      </c>
      <c r="M16" s="266" t="s">
        <v>43</v>
      </c>
      <c r="N16" s="268" t="s">
        <v>486</v>
      </c>
      <c r="O16" s="269" t="s">
        <v>43</v>
      </c>
      <c r="P16" s="270" t="s">
        <v>486</v>
      </c>
    </row>
    <row r="17" spans="3:18" ht="13.8" thickBot="1" x14ac:dyDescent="0.3">
      <c r="C17" s="316">
        <v>1</v>
      </c>
      <c r="D17" s="271" t="s">
        <v>51</v>
      </c>
      <c r="E17" s="272">
        <f>G17+I17+K17+M17+O17</f>
        <v>228.95699999999999</v>
      </c>
      <c r="F17" s="273">
        <f>H17+J17+L17+N17+P17</f>
        <v>184.89400000000001</v>
      </c>
      <c r="G17" s="274">
        <f>G18</f>
        <v>228.95699999999999</v>
      </c>
      <c r="H17" s="275">
        <f>H18</f>
        <v>184.89400000000001</v>
      </c>
      <c r="I17" s="276"/>
      <c r="J17" s="277"/>
      <c r="K17" s="276"/>
      <c r="L17" s="277"/>
      <c r="M17" s="276"/>
      <c r="N17" s="278"/>
      <c r="O17" s="279"/>
      <c r="P17" s="280"/>
    </row>
    <row r="18" spans="3:18" ht="12.75" customHeight="1" thickBot="1" x14ac:dyDescent="0.3">
      <c r="C18" s="281">
        <v>2</v>
      </c>
      <c r="D18" s="317" t="s">
        <v>53</v>
      </c>
      <c r="E18" s="272">
        <f t="shared" ref="E18:E81" si="0">G18+I18+K18+M18+O18</f>
        <v>228.95699999999999</v>
      </c>
      <c r="F18" s="273">
        <f t="shared" ref="F18:F34" si="1">H18+J18+L18+N18+P18</f>
        <v>184.89400000000001</v>
      </c>
      <c r="G18" s="493">
        <f>188.957+42-2</f>
        <v>228.95699999999999</v>
      </c>
      <c r="H18" s="494">
        <f>142.894+42</f>
        <v>184.89400000000001</v>
      </c>
      <c r="I18" s="495"/>
      <c r="J18" s="496"/>
      <c r="K18" s="495"/>
      <c r="L18" s="496"/>
      <c r="M18" s="495"/>
      <c r="N18" s="497"/>
      <c r="O18" s="433"/>
      <c r="P18" s="434"/>
    </row>
    <row r="19" spans="3:18" ht="13.8" thickBot="1" x14ac:dyDescent="0.3">
      <c r="C19" s="281">
        <f>C18+1</f>
        <v>3</v>
      </c>
      <c r="D19" s="318" t="s">
        <v>583</v>
      </c>
      <c r="E19" s="272">
        <f t="shared" si="0"/>
        <v>6637.9335199999996</v>
      </c>
      <c r="F19" s="273">
        <f t="shared" si="1"/>
        <v>4840.59782</v>
      </c>
      <c r="G19" s="436">
        <f>SUM(G20:G27)</f>
        <v>4972.262999999999</v>
      </c>
      <c r="H19" s="437">
        <f>SUM(H20:H24)</f>
        <v>4293.9359999999997</v>
      </c>
      <c r="I19" s="438">
        <f>SUM(I20:I24)</f>
        <v>604.86641999999995</v>
      </c>
      <c r="J19" s="435">
        <f>SUM(J20:J24)</f>
        <v>543.40300000000002</v>
      </c>
      <c r="K19" s="439"/>
      <c r="L19" s="440"/>
      <c r="M19" s="439"/>
      <c r="N19" s="440"/>
      <c r="O19" s="441">
        <f>SUM(O20:O27)</f>
        <v>1060.8041000000001</v>
      </c>
      <c r="P19" s="441">
        <f>SUM(P20:P27)</f>
        <v>3.2588200000000001</v>
      </c>
    </row>
    <row r="20" spans="3:18" ht="13.8" thickBot="1" x14ac:dyDescent="0.3">
      <c r="C20" s="281">
        <f t="shared" ref="C20:C83" si="2">C19+1</f>
        <v>4</v>
      </c>
      <c r="D20" s="317" t="s">
        <v>26</v>
      </c>
      <c r="E20" s="272">
        <f t="shared" si="0"/>
        <v>5121.5224199999993</v>
      </c>
      <c r="F20" s="273">
        <f t="shared" si="1"/>
        <v>4607.43</v>
      </c>
      <c r="G20" s="498">
        <f>4618.056+4.5</f>
        <v>4622.5559999999996</v>
      </c>
      <c r="H20" s="442">
        <f>4230.719-24-39</f>
        <v>4167.7190000000001</v>
      </c>
      <c r="I20" s="974">
        <f>497.02362-0.265+0.09693+0.1049-0.1+2+0.10597</f>
        <v>498.96641999999997</v>
      </c>
      <c r="J20" s="432">
        <f>437.767+1.944</f>
        <v>439.71100000000001</v>
      </c>
      <c r="K20" s="431"/>
      <c r="L20" s="432"/>
      <c r="M20" s="431"/>
      <c r="N20" s="443"/>
      <c r="O20" s="444"/>
      <c r="P20" s="445"/>
    </row>
    <row r="21" spans="3:18" ht="13.8" thickBot="1" x14ac:dyDescent="0.3">
      <c r="C21" s="281">
        <f t="shared" si="2"/>
        <v>5</v>
      </c>
      <c r="D21" s="317" t="s">
        <v>54</v>
      </c>
      <c r="E21" s="272">
        <f t="shared" si="0"/>
        <v>115.785</v>
      </c>
      <c r="F21" s="273">
        <f t="shared" si="1"/>
        <v>0</v>
      </c>
      <c r="G21" s="431">
        <f>100.785+15</f>
        <v>115.785</v>
      </c>
      <c r="H21" s="432"/>
      <c r="I21" s="431"/>
      <c r="J21" s="432"/>
      <c r="K21" s="431"/>
      <c r="L21" s="432"/>
      <c r="M21" s="431"/>
      <c r="N21" s="443"/>
      <c r="O21" s="433"/>
      <c r="P21" s="434"/>
      <c r="Q21" s="184"/>
      <c r="R21" s="6"/>
    </row>
    <row r="22" spans="3:18" ht="13.8" thickBot="1" x14ac:dyDescent="0.3">
      <c r="C22" s="281">
        <f t="shared" si="2"/>
        <v>6</v>
      </c>
      <c r="D22" s="317" t="s">
        <v>513</v>
      </c>
      <c r="E22" s="272">
        <f t="shared" si="0"/>
        <v>0</v>
      </c>
      <c r="F22" s="273">
        <f t="shared" si="1"/>
        <v>0</v>
      </c>
      <c r="G22" s="450">
        <f>37.39772-30-7.39772</f>
        <v>0</v>
      </c>
      <c r="H22" s="432"/>
      <c r="I22" s="431"/>
      <c r="J22" s="432"/>
      <c r="K22" s="431"/>
      <c r="L22" s="432"/>
      <c r="M22" s="431"/>
      <c r="N22" s="443"/>
      <c r="O22" s="433"/>
      <c r="P22" s="434"/>
    </row>
    <row r="23" spans="3:18" ht="13.8" thickBot="1" x14ac:dyDescent="0.3">
      <c r="C23" s="281">
        <f t="shared" si="2"/>
        <v>7</v>
      </c>
      <c r="D23" s="319" t="s">
        <v>52</v>
      </c>
      <c r="E23" s="272">
        <f t="shared" si="0"/>
        <v>142.172</v>
      </c>
      <c r="F23" s="273">
        <f t="shared" si="1"/>
        <v>132.03299999999999</v>
      </c>
      <c r="G23" s="499">
        <v>136.27199999999999</v>
      </c>
      <c r="H23" s="500">
        <v>126.217</v>
      </c>
      <c r="I23" s="444">
        <v>5.9</v>
      </c>
      <c r="J23" s="445">
        <v>5.8159999999999998</v>
      </c>
      <c r="K23" s="444"/>
      <c r="L23" s="445"/>
      <c r="M23" s="444"/>
      <c r="N23" s="443"/>
      <c r="O23" s="433"/>
      <c r="P23" s="434"/>
    </row>
    <row r="24" spans="3:18" ht="13.8" thickBot="1" x14ac:dyDescent="0.3">
      <c r="C24" s="281">
        <f t="shared" si="2"/>
        <v>8</v>
      </c>
      <c r="D24" s="317" t="s">
        <v>55</v>
      </c>
      <c r="E24" s="272">
        <f t="shared" si="0"/>
        <v>100</v>
      </c>
      <c r="F24" s="273">
        <f t="shared" si="1"/>
        <v>97.876000000000005</v>
      </c>
      <c r="G24" s="431"/>
      <c r="H24" s="432"/>
      <c r="I24" s="431">
        <v>100</v>
      </c>
      <c r="J24" s="432">
        <v>97.876000000000005</v>
      </c>
      <c r="K24" s="431"/>
      <c r="L24" s="432"/>
      <c r="M24" s="431"/>
      <c r="N24" s="443"/>
      <c r="O24" s="433"/>
      <c r="P24" s="434"/>
    </row>
    <row r="25" spans="3:18" ht="39.75" customHeight="1" thickBot="1" x14ac:dyDescent="0.3">
      <c r="C25" s="281">
        <f t="shared" si="2"/>
        <v>9</v>
      </c>
      <c r="D25" s="239" t="s">
        <v>428</v>
      </c>
      <c r="E25" s="272">
        <f t="shared" si="0"/>
        <v>17.649999999999999</v>
      </c>
      <c r="F25" s="273">
        <f t="shared" si="1"/>
        <v>0</v>
      </c>
      <c r="G25" s="431">
        <v>17.649999999999999</v>
      </c>
      <c r="H25" s="432"/>
      <c r="I25" s="431"/>
      <c r="J25" s="432"/>
      <c r="K25" s="431"/>
      <c r="L25" s="432"/>
      <c r="M25" s="431"/>
      <c r="N25" s="443"/>
      <c r="O25" s="433"/>
      <c r="P25" s="434"/>
    </row>
    <row r="26" spans="3:18" ht="13.8" thickBot="1" x14ac:dyDescent="0.3">
      <c r="C26" s="281">
        <f t="shared" si="2"/>
        <v>10</v>
      </c>
      <c r="D26" s="239" t="s">
        <v>75</v>
      </c>
      <c r="E26" s="272">
        <f t="shared" si="0"/>
        <v>80</v>
      </c>
      <c r="F26" s="273">
        <f t="shared" si="1"/>
        <v>0</v>
      </c>
      <c r="G26" s="431">
        <v>80</v>
      </c>
      <c r="H26" s="432"/>
      <c r="I26" s="431"/>
      <c r="J26" s="432"/>
      <c r="K26" s="431"/>
      <c r="L26" s="432"/>
      <c r="M26" s="431"/>
      <c r="N26" s="443"/>
      <c r="O26" s="433"/>
      <c r="P26" s="434"/>
    </row>
    <row r="27" spans="3:18" ht="27" thickBot="1" x14ac:dyDescent="0.3">
      <c r="C27" s="281">
        <f t="shared" si="2"/>
        <v>11</v>
      </c>
      <c r="D27" s="239" t="s">
        <v>516</v>
      </c>
      <c r="E27" s="272">
        <f t="shared" si="0"/>
        <v>1060.8041000000001</v>
      </c>
      <c r="F27" s="273">
        <f t="shared" si="1"/>
        <v>3.2588200000000001</v>
      </c>
      <c r="G27" s="431"/>
      <c r="H27" s="432"/>
      <c r="I27" s="431"/>
      <c r="J27" s="432"/>
      <c r="K27" s="431"/>
      <c r="L27" s="432"/>
      <c r="M27" s="431"/>
      <c r="N27" s="443"/>
      <c r="O27" s="993">
        <f>1055.7781+5.026</f>
        <v>1060.8041000000001</v>
      </c>
      <c r="P27" s="434">
        <v>3.2588200000000001</v>
      </c>
    </row>
    <row r="28" spans="3:18" ht="13.8" thickBot="1" x14ac:dyDescent="0.3">
      <c r="C28" s="282">
        <f t="shared" si="2"/>
        <v>12</v>
      </c>
      <c r="D28" s="318" t="s">
        <v>56</v>
      </c>
      <c r="E28" s="272">
        <f t="shared" si="0"/>
        <v>113.559</v>
      </c>
      <c r="F28" s="273">
        <f t="shared" si="1"/>
        <v>110.42400000000001</v>
      </c>
      <c r="G28" s="436">
        <f>100.559+13</f>
        <v>113.559</v>
      </c>
      <c r="H28" s="435">
        <f>97.424+13</f>
        <v>110.42400000000001</v>
      </c>
      <c r="I28" s="438"/>
      <c r="J28" s="435"/>
      <c r="K28" s="436"/>
      <c r="L28" s="435"/>
      <c r="M28" s="436"/>
      <c r="N28" s="446"/>
      <c r="O28" s="447"/>
      <c r="P28" s="448"/>
    </row>
    <row r="29" spans="3:18" ht="12.75" customHeight="1" thickBot="1" x14ac:dyDescent="0.3">
      <c r="C29" s="282">
        <f t="shared" si="2"/>
        <v>13</v>
      </c>
      <c r="D29" s="320" t="s">
        <v>584</v>
      </c>
      <c r="E29" s="272">
        <f t="shared" si="0"/>
        <v>8620.4824800000006</v>
      </c>
      <c r="F29" s="273">
        <f t="shared" si="1"/>
        <v>45</v>
      </c>
      <c r="G29" s="449">
        <f>SUM(G30:G56)</f>
        <v>4067.92328</v>
      </c>
      <c r="H29" s="440">
        <f>SUM(H30:H56)</f>
        <v>0</v>
      </c>
      <c r="I29" s="436">
        <f>SUM(I30:I56)</f>
        <v>4552.5592000000006</v>
      </c>
      <c r="J29" s="436">
        <f>SUM(J30:J56)</f>
        <v>45</v>
      </c>
      <c r="K29" s="436"/>
      <c r="L29" s="435"/>
      <c r="M29" s="436"/>
      <c r="N29" s="446"/>
      <c r="O29" s="447"/>
      <c r="P29" s="448"/>
    </row>
    <row r="30" spans="3:18" ht="13.8" thickBot="1" x14ac:dyDescent="0.3">
      <c r="C30" s="281">
        <f t="shared" si="2"/>
        <v>14</v>
      </c>
      <c r="D30" s="239" t="s">
        <v>57</v>
      </c>
      <c r="E30" s="272">
        <f t="shared" si="0"/>
        <v>2637.19</v>
      </c>
      <c r="F30" s="273"/>
      <c r="G30" s="431">
        <f>960+9.781</f>
        <v>969.78099999999995</v>
      </c>
      <c r="H30" s="432"/>
      <c r="I30" s="431">
        <f>1337.409+330</f>
        <v>1667.4090000000001</v>
      </c>
      <c r="J30" s="432"/>
      <c r="K30" s="431"/>
      <c r="L30" s="432"/>
      <c r="M30" s="431"/>
      <c r="N30" s="443"/>
      <c r="O30" s="444"/>
      <c r="P30" s="434"/>
    </row>
    <row r="31" spans="3:18" ht="13.8" thickBot="1" x14ac:dyDescent="0.3">
      <c r="C31" s="281">
        <f t="shared" si="2"/>
        <v>15</v>
      </c>
      <c r="D31" s="239" t="s">
        <v>58</v>
      </c>
      <c r="E31" s="272">
        <f t="shared" si="0"/>
        <v>70</v>
      </c>
      <c r="F31" s="273"/>
      <c r="G31" s="431">
        <v>70</v>
      </c>
      <c r="H31" s="432"/>
      <c r="I31" s="431"/>
      <c r="J31" s="432"/>
      <c r="K31" s="431"/>
      <c r="L31" s="432"/>
      <c r="M31" s="431"/>
      <c r="N31" s="443"/>
      <c r="O31" s="433"/>
      <c r="P31" s="434"/>
    </row>
    <row r="32" spans="3:18" ht="13.8" thickBot="1" x14ac:dyDescent="0.3">
      <c r="C32" s="281">
        <f t="shared" si="2"/>
        <v>16</v>
      </c>
      <c r="D32" s="239" t="s">
        <v>59</v>
      </c>
      <c r="E32" s="272">
        <f t="shared" si="0"/>
        <v>119.89400000000001</v>
      </c>
      <c r="F32" s="273"/>
      <c r="G32" s="431">
        <f>84+40-4.106</f>
        <v>119.89400000000001</v>
      </c>
      <c r="H32" s="432"/>
      <c r="I32" s="431"/>
      <c r="J32" s="432"/>
      <c r="K32" s="431"/>
      <c r="L32" s="432"/>
      <c r="M32" s="431"/>
      <c r="N32" s="443"/>
      <c r="O32" s="433"/>
      <c r="P32" s="434"/>
    </row>
    <row r="33" spans="3:20" ht="13.8" thickBot="1" x14ac:dyDescent="0.3">
      <c r="C33" s="281">
        <f t="shared" si="2"/>
        <v>17</v>
      </c>
      <c r="D33" s="239" t="s">
        <v>60</v>
      </c>
      <c r="E33" s="272">
        <f t="shared" si="0"/>
        <v>17.943999999999999</v>
      </c>
      <c r="F33" s="273"/>
      <c r="G33" s="431">
        <f>10+7.944</f>
        <v>17.943999999999999</v>
      </c>
      <c r="H33" s="432"/>
      <c r="I33" s="431"/>
      <c r="J33" s="432"/>
      <c r="K33" s="431"/>
      <c r="L33" s="432"/>
      <c r="M33" s="431"/>
      <c r="N33" s="443"/>
      <c r="O33" s="433"/>
      <c r="P33" s="434"/>
    </row>
    <row r="34" spans="3:20" ht="13.8" thickBot="1" x14ac:dyDescent="0.3">
      <c r="C34" s="281">
        <f t="shared" si="2"/>
        <v>18</v>
      </c>
      <c r="D34" s="239" t="s">
        <v>462</v>
      </c>
      <c r="E34" s="272">
        <f t="shared" si="0"/>
        <v>100.00667</v>
      </c>
      <c r="F34" s="273">
        <f t="shared" si="1"/>
        <v>45</v>
      </c>
      <c r="G34" s="431"/>
      <c r="H34" s="432"/>
      <c r="I34" s="982">
        <f>109.309+0.69767-10</f>
        <v>100.00667</v>
      </c>
      <c r="J34" s="983">
        <v>45</v>
      </c>
      <c r="K34" s="431"/>
      <c r="L34" s="432"/>
      <c r="M34" s="431"/>
      <c r="N34" s="443"/>
      <c r="O34" s="433"/>
      <c r="P34" s="434"/>
      <c r="T34" s="170"/>
    </row>
    <row r="35" spans="3:20" ht="13.8" thickBot="1" x14ac:dyDescent="0.3">
      <c r="C35" s="281">
        <f t="shared" si="2"/>
        <v>19</v>
      </c>
      <c r="D35" s="239" t="s">
        <v>2</v>
      </c>
      <c r="E35" s="272">
        <f t="shared" si="0"/>
        <v>469.8</v>
      </c>
      <c r="F35" s="273"/>
      <c r="G35" s="431"/>
      <c r="H35" s="432"/>
      <c r="I35" s="431">
        <f>508.1-38.3</f>
        <v>469.8</v>
      </c>
      <c r="J35" s="432"/>
      <c r="K35" s="431"/>
      <c r="L35" s="432"/>
      <c r="M35" s="431"/>
      <c r="N35" s="443"/>
      <c r="O35" s="433"/>
      <c r="P35" s="434"/>
    </row>
    <row r="36" spans="3:20" ht="13.8" thickBot="1" x14ac:dyDescent="0.3">
      <c r="C36" s="281">
        <f t="shared" si="2"/>
        <v>20</v>
      </c>
      <c r="D36" s="239" t="s">
        <v>61</v>
      </c>
      <c r="E36" s="272">
        <f t="shared" si="0"/>
        <v>5</v>
      </c>
      <c r="F36" s="273"/>
      <c r="G36" s="431"/>
      <c r="H36" s="432"/>
      <c r="I36" s="431">
        <v>5</v>
      </c>
      <c r="J36" s="432"/>
      <c r="K36" s="431"/>
      <c r="L36" s="432"/>
      <c r="M36" s="431"/>
      <c r="N36" s="443"/>
      <c r="O36" s="433"/>
      <c r="P36" s="434"/>
    </row>
    <row r="37" spans="3:20" ht="27" thickBot="1" x14ac:dyDescent="0.3">
      <c r="C37" s="281">
        <f t="shared" si="2"/>
        <v>21</v>
      </c>
      <c r="D37" s="239" t="s">
        <v>585</v>
      </c>
      <c r="E37" s="272">
        <f t="shared" si="0"/>
        <v>5.5</v>
      </c>
      <c r="F37" s="273"/>
      <c r="G37" s="431">
        <f>5+0.5</f>
        <v>5.5</v>
      </c>
      <c r="H37" s="432"/>
      <c r="I37" s="431"/>
      <c r="J37" s="432"/>
      <c r="K37" s="431"/>
      <c r="L37" s="432"/>
      <c r="M37" s="431"/>
      <c r="N37" s="443"/>
      <c r="O37" s="433"/>
      <c r="P37" s="434"/>
    </row>
    <row r="38" spans="3:20" ht="13.8" thickBot="1" x14ac:dyDescent="0.3">
      <c r="C38" s="281">
        <f t="shared" si="2"/>
        <v>22</v>
      </c>
      <c r="D38" s="239" t="s">
        <v>62</v>
      </c>
      <c r="E38" s="272">
        <f t="shared" si="0"/>
        <v>1225.5</v>
      </c>
      <c r="F38" s="273"/>
      <c r="G38" s="431"/>
      <c r="H38" s="432"/>
      <c r="I38" s="431">
        <f>744.9+314.5+166.1</f>
        <v>1225.5</v>
      </c>
      <c r="J38" s="432"/>
      <c r="K38" s="431"/>
      <c r="L38" s="432"/>
      <c r="M38" s="431"/>
      <c r="N38" s="443"/>
      <c r="O38" s="433"/>
      <c r="P38" s="434"/>
    </row>
    <row r="39" spans="3:20" ht="13.8" thickBot="1" x14ac:dyDescent="0.3">
      <c r="C39" s="281">
        <f t="shared" si="2"/>
        <v>23</v>
      </c>
      <c r="D39" s="239" t="s">
        <v>63</v>
      </c>
      <c r="E39" s="272">
        <f t="shared" si="0"/>
        <v>2600.2809999999999</v>
      </c>
      <c r="F39" s="273"/>
      <c r="G39" s="431">
        <f>1890+20.34</f>
        <v>1910.34</v>
      </c>
      <c r="H39" s="432"/>
      <c r="I39" s="431">
        <f>1825.7-330-805.759</f>
        <v>689.94100000000003</v>
      </c>
      <c r="J39" s="432"/>
      <c r="K39" s="431"/>
      <c r="L39" s="432"/>
      <c r="M39" s="431"/>
      <c r="N39" s="443"/>
      <c r="O39" s="444"/>
      <c r="P39" s="434"/>
    </row>
    <row r="40" spans="3:20" ht="27" thickBot="1" x14ac:dyDescent="0.3">
      <c r="C40" s="281">
        <f t="shared" si="2"/>
        <v>24</v>
      </c>
      <c r="D40" s="239" t="s">
        <v>251</v>
      </c>
      <c r="E40" s="272">
        <f t="shared" si="0"/>
        <v>26.154</v>
      </c>
      <c r="F40" s="273"/>
      <c r="G40" s="431">
        <f>24.807+1.347</f>
        <v>26.154</v>
      </c>
      <c r="H40" s="432"/>
      <c r="I40" s="431"/>
      <c r="J40" s="432"/>
      <c r="K40" s="431"/>
      <c r="L40" s="432"/>
      <c r="M40" s="431"/>
      <c r="N40" s="443"/>
      <c r="O40" s="433"/>
      <c r="P40" s="434"/>
    </row>
    <row r="41" spans="3:20" ht="13.5" customHeight="1" thickBot="1" x14ac:dyDescent="0.3">
      <c r="C41" s="281">
        <f t="shared" si="2"/>
        <v>25</v>
      </c>
      <c r="D41" s="239" t="s">
        <v>414</v>
      </c>
      <c r="E41" s="272">
        <f t="shared" si="0"/>
        <v>8.34</v>
      </c>
      <c r="F41" s="273"/>
      <c r="G41" s="431">
        <f>10-1.66</f>
        <v>8.34</v>
      </c>
      <c r="H41" s="432"/>
      <c r="I41" s="431"/>
      <c r="J41" s="432"/>
      <c r="K41" s="431"/>
      <c r="L41" s="432"/>
      <c r="M41" s="431"/>
      <c r="N41" s="443"/>
      <c r="O41" s="433"/>
      <c r="P41" s="434"/>
    </row>
    <row r="42" spans="3:20" ht="13.8" thickBot="1" x14ac:dyDescent="0.3">
      <c r="C42" s="281">
        <f t="shared" si="2"/>
        <v>26</v>
      </c>
      <c r="D42" s="239" t="s">
        <v>413</v>
      </c>
      <c r="E42" s="272">
        <f t="shared" si="0"/>
        <v>114</v>
      </c>
      <c r="F42" s="273"/>
      <c r="G42" s="431">
        <f>110+4</f>
        <v>114</v>
      </c>
      <c r="H42" s="432"/>
      <c r="I42" s="431"/>
      <c r="J42" s="432"/>
      <c r="K42" s="431"/>
      <c r="L42" s="432"/>
      <c r="M42" s="431"/>
      <c r="N42" s="443"/>
      <c r="O42" s="433"/>
      <c r="P42" s="434"/>
    </row>
    <row r="43" spans="3:20" s="168" customFormat="1" ht="24.75" customHeight="1" thickBot="1" x14ac:dyDescent="0.3">
      <c r="C43" s="281">
        <f t="shared" si="2"/>
        <v>27</v>
      </c>
      <c r="D43" s="239" t="s">
        <v>222</v>
      </c>
      <c r="E43" s="272">
        <f t="shared" si="0"/>
        <v>2.234</v>
      </c>
      <c r="F43" s="273"/>
      <c r="G43" s="431">
        <f>7-4.766</f>
        <v>2.234</v>
      </c>
      <c r="H43" s="432"/>
      <c r="I43" s="431"/>
      <c r="J43" s="432"/>
      <c r="K43" s="431"/>
      <c r="L43" s="432"/>
      <c r="M43" s="431"/>
      <c r="N43" s="443"/>
      <c r="O43" s="433"/>
      <c r="P43" s="434"/>
    </row>
    <row r="44" spans="3:20" s="168" customFormat="1" ht="12.75" customHeight="1" thickBot="1" x14ac:dyDescent="0.3">
      <c r="C44" s="281">
        <f t="shared" si="2"/>
        <v>28</v>
      </c>
      <c r="D44" s="239" t="s">
        <v>463</v>
      </c>
      <c r="E44" s="272">
        <f t="shared" si="0"/>
        <v>574</v>
      </c>
      <c r="F44" s="273"/>
      <c r="G44" s="431">
        <f>414+160</f>
        <v>574</v>
      </c>
      <c r="H44" s="432"/>
      <c r="I44" s="431"/>
      <c r="J44" s="432"/>
      <c r="K44" s="431"/>
      <c r="L44" s="432"/>
      <c r="M44" s="431"/>
      <c r="N44" s="443"/>
      <c r="O44" s="433"/>
      <c r="P44" s="434"/>
    </row>
    <row r="45" spans="3:20" s="168" customFormat="1" ht="12.75" customHeight="1" thickBot="1" x14ac:dyDescent="0.3">
      <c r="C45" s="281">
        <f t="shared" si="2"/>
        <v>29</v>
      </c>
      <c r="D45" s="239" t="s">
        <v>432</v>
      </c>
      <c r="E45" s="272">
        <f t="shared" si="0"/>
        <v>176.1</v>
      </c>
      <c r="F45" s="273"/>
      <c r="G45" s="431"/>
      <c r="H45" s="432"/>
      <c r="I45" s="431">
        <f>178.6-2.5</f>
        <v>176.1</v>
      </c>
      <c r="J45" s="432"/>
      <c r="K45" s="431"/>
      <c r="L45" s="432"/>
      <c r="M45" s="431"/>
      <c r="N45" s="443"/>
      <c r="O45" s="433"/>
      <c r="P45" s="434"/>
    </row>
    <row r="46" spans="3:20" s="168" customFormat="1" ht="25.5" customHeight="1" thickBot="1" x14ac:dyDescent="0.3">
      <c r="C46" s="281">
        <f t="shared" si="2"/>
        <v>30</v>
      </c>
      <c r="D46" s="239" t="s">
        <v>433</v>
      </c>
      <c r="E46" s="272">
        <f t="shared" si="0"/>
        <v>89.640999999999991</v>
      </c>
      <c r="F46" s="273"/>
      <c r="G46" s="431"/>
      <c r="H46" s="432"/>
      <c r="I46" s="431">
        <f>107.07-8.59-8.839</f>
        <v>89.640999999999991</v>
      </c>
      <c r="J46" s="432"/>
      <c r="K46" s="431"/>
      <c r="L46" s="432"/>
      <c r="M46" s="431"/>
      <c r="N46" s="443"/>
      <c r="O46" s="433"/>
      <c r="P46" s="434"/>
    </row>
    <row r="47" spans="3:20" s="168" customFormat="1" ht="12.75" customHeight="1" thickBot="1" x14ac:dyDescent="0.3">
      <c r="C47" s="281">
        <f t="shared" si="2"/>
        <v>31</v>
      </c>
      <c r="D47" s="239" t="s">
        <v>425</v>
      </c>
      <c r="E47" s="272">
        <f t="shared" si="0"/>
        <v>24.678999999999998</v>
      </c>
      <c r="F47" s="273"/>
      <c r="G47" s="431"/>
      <c r="H47" s="432"/>
      <c r="I47" s="431">
        <v>24.678999999999998</v>
      </c>
      <c r="J47" s="432"/>
      <c r="K47" s="431"/>
      <c r="L47" s="432"/>
      <c r="M47" s="431"/>
      <c r="N47" s="443"/>
      <c r="O47" s="433"/>
      <c r="P47" s="434"/>
    </row>
    <row r="48" spans="3:20" s="168" customFormat="1" ht="12.75" customHeight="1" thickBot="1" x14ac:dyDescent="0.3">
      <c r="C48" s="281">
        <f t="shared" si="2"/>
        <v>32</v>
      </c>
      <c r="D48" s="239" t="s">
        <v>287</v>
      </c>
      <c r="E48" s="272">
        <f t="shared" si="0"/>
        <v>109.443</v>
      </c>
      <c r="F48" s="273"/>
      <c r="G48" s="431">
        <f>100+15-5.557</f>
        <v>109.443</v>
      </c>
      <c r="H48" s="432"/>
      <c r="I48" s="431"/>
      <c r="J48" s="432"/>
      <c r="K48" s="431"/>
      <c r="L48" s="432"/>
      <c r="M48" s="431"/>
      <c r="N48" s="443"/>
      <c r="O48" s="433"/>
      <c r="P48" s="434"/>
    </row>
    <row r="49" spans="3:16" s="168" customFormat="1" ht="12.75" customHeight="1" thickBot="1" x14ac:dyDescent="0.3">
      <c r="C49" s="281">
        <f t="shared" si="2"/>
        <v>33</v>
      </c>
      <c r="D49" s="239" t="s">
        <v>417</v>
      </c>
      <c r="E49" s="272">
        <f t="shared" si="0"/>
        <v>19</v>
      </c>
      <c r="F49" s="273"/>
      <c r="G49" s="431">
        <v>19</v>
      </c>
      <c r="H49" s="432"/>
      <c r="I49" s="431"/>
      <c r="J49" s="432"/>
      <c r="K49" s="431"/>
      <c r="L49" s="432"/>
      <c r="M49" s="431"/>
      <c r="N49" s="443"/>
      <c r="O49" s="433"/>
      <c r="P49" s="434"/>
    </row>
    <row r="50" spans="3:16" s="168" customFormat="1" ht="12.75" customHeight="1" thickBot="1" x14ac:dyDescent="0.3">
      <c r="C50" s="281">
        <f t="shared" si="2"/>
        <v>34</v>
      </c>
      <c r="D50" s="239" t="s">
        <v>418</v>
      </c>
      <c r="E50" s="272">
        <f t="shared" si="0"/>
        <v>12.7</v>
      </c>
      <c r="F50" s="273"/>
      <c r="G50" s="431">
        <f>10+3.5-0.8</f>
        <v>12.7</v>
      </c>
      <c r="H50" s="432"/>
      <c r="I50" s="431"/>
      <c r="J50" s="432"/>
      <c r="K50" s="431"/>
      <c r="L50" s="432"/>
      <c r="M50" s="431"/>
      <c r="N50" s="443"/>
      <c r="O50" s="433"/>
      <c r="P50" s="434"/>
    </row>
    <row r="51" spans="3:16" s="168" customFormat="1" ht="12.75" customHeight="1" thickBot="1" x14ac:dyDescent="0.3">
      <c r="C51" s="281">
        <f t="shared" si="2"/>
        <v>35</v>
      </c>
      <c r="D51" s="239" t="s">
        <v>434</v>
      </c>
      <c r="E51" s="272">
        <f t="shared" si="0"/>
        <v>19.791</v>
      </c>
      <c r="F51" s="273"/>
      <c r="G51" s="431">
        <f>15+4.791</f>
        <v>19.791</v>
      </c>
      <c r="H51" s="432"/>
      <c r="I51" s="431"/>
      <c r="J51" s="432"/>
      <c r="K51" s="431"/>
      <c r="L51" s="432"/>
      <c r="M51" s="431"/>
      <c r="N51" s="443"/>
      <c r="O51" s="433"/>
      <c r="P51" s="434"/>
    </row>
    <row r="52" spans="3:16" s="168" customFormat="1" ht="24.75" customHeight="1" thickBot="1" x14ac:dyDescent="0.3">
      <c r="C52" s="281">
        <f t="shared" si="2"/>
        <v>36</v>
      </c>
      <c r="D52" s="283" t="s">
        <v>474</v>
      </c>
      <c r="E52" s="272">
        <f t="shared" si="0"/>
        <v>66.842910000000003</v>
      </c>
      <c r="F52" s="273"/>
      <c r="G52" s="431"/>
      <c r="H52" s="432"/>
      <c r="I52" s="450">
        <f>51.45275+4.84667+5.24515+5.29834</f>
        <v>66.842910000000003</v>
      </c>
      <c r="J52" s="432"/>
      <c r="K52" s="431"/>
      <c r="L52" s="432"/>
      <c r="M52" s="431"/>
      <c r="N52" s="443"/>
      <c r="O52" s="433"/>
      <c r="P52" s="434"/>
    </row>
    <row r="53" spans="3:16" s="168" customFormat="1" ht="13.5" customHeight="1" thickBot="1" x14ac:dyDescent="0.3">
      <c r="C53" s="281">
        <f t="shared" si="2"/>
        <v>37</v>
      </c>
      <c r="D53" s="239" t="s">
        <v>489</v>
      </c>
      <c r="E53" s="272">
        <f t="shared" si="0"/>
        <v>27.58962</v>
      </c>
      <c r="F53" s="273"/>
      <c r="G53" s="431"/>
      <c r="H53" s="432"/>
      <c r="I53" s="450">
        <v>27.58962</v>
      </c>
      <c r="J53" s="432"/>
      <c r="K53" s="431"/>
      <c r="L53" s="432"/>
      <c r="M53" s="431"/>
      <c r="N53" s="443"/>
      <c r="O53" s="433"/>
      <c r="P53" s="434"/>
    </row>
    <row r="54" spans="3:16" s="168" customFormat="1" ht="27.75" customHeight="1" thickBot="1" x14ac:dyDescent="0.3">
      <c r="C54" s="281">
        <f t="shared" si="2"/>
        <v>38</v>
      </c>
      <c r="D54" s="239" t="s">
        <v>546</v>
      </c>
      <c r="E54" s="272">
        <f t="shared" si="0"/>
        <v>38.802280000000003</v>
      </c>
      <c r="F54" s="273"/>
      <c r="G54" s="452">
        <v>38.802280000000003</v>
      </c>
      <c r="H54" s="451"/>
      <c r="I54" s="452"/>
      <c r="J54" s="451"/>
      <c r="K54" s="453"/>
      <c r="L54" s="451"/>
      <c r="M54" s="453"/>
      <c r="N54" s="454"/>
      <c r="O54" s="455"/>
      <c r="P54" s="456"/>
    </row>
    <row r="55" spans="3:16" s="168" customFormat="1" ht="19.5" customHeight="1" thickBot="1" x14ac:dyDescent="0.3">
      <c r="C55" s="281">
        <f t="shared" si="2"/>
        <v>39</v>
      </c>
      <c r="D55" s="239" t="s">
        <v>576</v>
      </c>
      <c r="E55" s="272">
        <f t="shared" si="0"/>
        <v>50</v>
      </c>
      <c r="F55" s="273"/>
      <c r="G55" s="453">
        <v>50</v>
      </c>
      <c r="H55" s="451"/>
      <c r="I55" s="452"/>
      <c r="J55" s="451"/>
      <c r="K55" s="453"/>
      <c r="L55" s="451"/>
      <c r="M55" s="453"/>
      <c r="N55" s="454"/>
      <c r="O55" s="455"/>
      <c r="P55" s="456"/>
    </row>
    <row r="56" spans="3:16" s="168" customFormat="1" ht="54.75" customHeight="1" thickBot="1" x14ac:dyDescent="0.3">
      <c r="C56" s="281">
        <f t="shared" si="2"/>
        <v>40</v>
      </c>
      <c r="D56" s="239" t="s">
        <v>586</v>
      </c>
      <c r="E56" s="272">
        <f t="shared" si="0"/>
        <v>10.050000000000001</v>
      </c>
      <c r="F56" s="273"/>
      <c r="G56" s="453"/>
      <c r="H56" s="451"/>
      <c r="I56" s="453">
        <f>2.547+2+5.503</f>
        <v>10.050000000000001</v>
      </c>
      <c r="J56" s="451"/>
      <c r="K56" s="453"/>
      <c r="L56" s="451"/>
      <c r="M56" s="453"/>
      <c r="N56" s="454"/>
      <c r="O56" s="455"/>
      <c r="P56" s="456"/>
    </row>
    <row r="57" spans="3:16" ht="13.8" thickBot="1" x14ac:dyDescent="0.3">
      <c r="C57" s="282">
        <f t="shared" si="2"/>
        <v>41</v>
      </c>
      <c r="D57" s="284" t="s">
        <v>587</v>
      </c>
      <c r="E57" s="272">
        <f t="shared" si="0"/>
        <v>1056.8200000000002</v>
      </c>
      <c r="F57" s="273"/>
      <c r="G57" s="436">
        <f>SUM(G58:G65)</f>
        <v>1018.32</v>
      </c>
      <c r="H57" s="435"/>
      <c r="I57" s="436">
        <f>SUM(I58:I64)</f>
        <v>2.5</v>
      </c>
      <c r="J57" s="435"/>
      <c r="K57" s="436"/>
      <c r="L57" s="435"/>
      <c r="M57" s="436">
        <f>SUM(M58:M63)</f>
        <v>36</v>
      </c>
      <c r="N57" s="446"/>
      <c r="O57" s="447"/>
      <c r="P57" s="448"/>
    </row>
    <row r="58" spans="3:16" ht="13.8" thickBot="1" x14ac:dyDescent="0.3">
      <c r="C58" s="281">
        <f t="shared" si="2"/>
        <v>42</v>
      </c>
      <c r="D58" s="239" t="s">
        <v>67</v>
      </c>
      <c r="E58" s="272">
        <f t="shared" si="0"/>
        <v>4.6999999999999993</v>
      </c>
      <c r="F58" s="273"/>
      <c r="G58" s="431">
        <f>15-10.3</f>
        <v>4.6999999999999993</v>
      </c>
      <c r="H58" s="432"/>
      <c r="I58" s="431"/>
      <c r="J58" s="432"/>
      <c r="K58" s="431"/>
      <c r="L58" s="432"/>
      <c r="M58" s="431"/>
      <c r="N58" s="443"/>
      <c r="O58" s="433"/>
      <c r="P58" s="434"/>
    </row>
    <row r="59" spans="3:16" ht="24.75" customHeight="1" thickBot="1" x14ac:dyDescent="0.3">
      <c r="C59" s="281">
        <f t="shared" si="2"/>
        <v>43</v>
      </c>
      <c r="D59" s="239" t="s">
        <v>419</v>
      </c>
      <c r="E59" s="272">
        <f t="shared" si="0"/>
        <v>690.48599999999999</v>
      </c>
      <c r="F59" s="273"/>
      <c r="G59" s="431">
        <f>513.5+113.583+63.403</f>
        <v>690.48599999999999</v>
      </c>
      <c r="H59" s="432"/>
      <c r="I59" s="431"/>
      <c r="J59" s="432"/>
      <c r="K59" s="431"/>
      <c r="L59" s="432"/>
      <c r="M59" s="431"/>
      <c r="N59" s="443"/>
      <c r="O59" s="433"/>
      <c r="P59" s="434"/>
    </row>
    <row r="60" spans="3:16" ht="13.8" thickBot="1" x14ac:dyDescent="0.3">
      <c r="C60" s="281">
        <f t="shared" si="2"/>
        <v>44</v>
      </c>
      <c r="D60" s="239" t="s">
        <v>68</v>
      </c>
      <c r="E60" s="272">
        <f t="shared" si="0"/>
        <v>306.41700000000003</v>
      </c>
      <c r="F60" s="273"/>
      <c r="G60" s="431">
        <f>420-113.583</f>
        <v>306.41700000000003</v>
      </c>
      <c r="H60" s="432"/>
      <c r="I60" s="431"/>
      <c r="J60" s="432"/>
      <c r="K60" s="431"/>
      <c r="L60" s="432"/>
      <c r="M60" s="431"/>
      <c r="N60" s="443"/>
      <c r="O60" s="433"/>
      <c r="P60" s="434"/>
    </row>
    <row r="61" spans="3:16" ht="13.8" thickBot="1" x14ac:dyDescent="0.3">
      <c r="C61" s="281">
        <f t="shared" si="2"/>
        <v>45</v>
      </c>
      <c r="D61" s="239" t="s">
        <v>69</v>
      </c>
      <c r="E61" s="272">
        <f t="shared" si="0"/>
        <v>0.1</v>
      </c>
      <c r="F61" s="273"/>
      <c r="G61" s="431">
        <v>0.1</v>
      </c>
      <c r="H61" s="432"/>
      <c r="I61" s="431"/>
      <c r="J61" s="432"/>
      <c r="K61" s="431"/>
      <c r="L61" s="432"/>
      <c r="M61" s="431"/>
      <c r="N61" s="443"/>
      <c r="O61" s="433"/>
      <c r="P61" s="434"/>
    </row>
    <row r="62" spans="3:16" ht="13.8" thickBot="1" x14ac:dyDescent="0.3">
      <c r="C62" s="281">
        <f t="shared" si="2"/>
        <v>46</v>
      </c>
      <c r="D62" s="239" t="s">
        <v>223</v>
      </c>
      <c r="E62" s="272">
        <f t="shared" si="0"/>
        <v>15</v>
      </c>
      <c r="F62" s="273"/>
      <c r="G62" s="431">
        <v>15</v>
      </c>
      <c r="H62" s="432"/>
      <c r="I62" s="431"/>
      <c r="J62" s="432"/>
      <c r="K62" s="431"/>
      <c r="L62" s="432"/>
      <c r="M62" s="431"/>
      <c r="N62" s="443"/>
      <c r="O62" s="433"/>
      <c r="P62" s="434"/>
    </row>
    <row r="63" spans="3:16" ht="13.8" thickBot="1" x14ac:dyDescent="0.3">
      <c r="C63" s="281">
        <f t="shared" si="2"/>
        <v>47</v>
      </c>
      <c r="D63" s="239" t="s">
        <v>70</v>
      </c>
      <c r="E63" s="272">
        <f t="shared" si="0"/>
        <v>36</v>
      </c>
      <c r="F63" s="273"/>
      <c r="G63" s="431"/>
      <c r="H63" s="432"/>
      <c r="I63" s="431"/>
      <c r="J63" s="432"/>
      <c r="K63" s="431"/>
      <c r="L63" s="432"/>
      <c r="M63" s="431">
        <f>50-14</f>
        <v>36</v>
      </c>
      <c r="N63" s="443"/>
      <c r="O63" s="433"/>
      <c r="P63" s="434"/>
    </row>
    <row r="64" spans="3:16" ht="12.75" customHeight="1" thickBot="1" x14ac:dyDescent="0.3">
      <c r="C64" s="281">
        <f t="shared" si="2"/>
        <v>48</v>
      </c>
      <c r="D64" s="239" t="s">
        <v>290</v>
      </c>
      <c r="E64" s="272">
        <f t="shared" si="0"/>
        <v>2.5</v>
      </c>
      <c r="F64" s="273"/>
      <c r="G64" s="431"/>
      <c r="H64" s="432"/>
      <c r="I64" s="431">
        <f>1.1+1.4</f>
        <v>2.5</v>
      </c>
      <c r="J64" s="432"/>
      <c r="K64" s="431"/>
      <c r="L64" s="432"/>
      <c r="M64" s="431"/>
      <c r="N64" s="443"/>
      <c r="O64" s="433"/>
      <c r="P64" s="434"/>
    </row>
    <row r="65" spans="3:16" ht="12.75" customHeight="1" thickBot="1" x14ac:dyDescent="0.3">
      <c r="C65" s="281">
        <f t="shared" si="2"/>
        <v>49</v>
      </c>
      <c r="D65" s="239" t="s">
        <v>667</v>
      </c>
      <c r="E65" s="272">
        <f t="shared" si="0"/>
        <v>1.617</v>
      </c>
      <c r="F65" s="273"/>
      <c r="G65" s="453">
        <v>1.617</v>
      </c>
      <c r="H65" s="451"/>
      <c r="I65" s="453"/>
      <c r="J65" s="451"/>
      <c r="K65" s="453"/>
      <c r="L65" s="451"/>
      <c r="M65" s="453"/>
      <c r="N65" s="454"/>
      <c r="O65" s="455"/>
      <c r="P65" s="456"/>
    </row>
    <row r="66" spans="3:16" ht="12.75" customHeight="1" thickBot="1" x14ac:dyDescent="0.3">
      <c r="C66" s="282">
        <f t="shared" si="2"/>
        <v>50</v>
      </c>
      <c r="D66" s="318" t="s">
        <v>225</v>
      </c>
      <c r="E66" s="272">
        <f t="shared" si="0"/>
        <v>6261.50396</v>
      </c>
      <c r="F66" s="273"/>
      <c r="G66" s="436">
        <f>SUM(G67:G75)</f>
        <v>1416.45911</v>
      </c>
      <c r="H66" s="435"/>
      <c r="I66" s="438">
        <f>SUM(I67:I75)</f>
        <v>4845.0448500000002</v>
      </c>
      <c r="J66" s="435"/>
      <c r="K66" s="436"/>
      <c r="L66" s="435"/>
      <c r="M66" s="436"/>
      <c r="N66" s="446"/>
      <c r="O66" s="447"/>
      <c r="P66" s="448"/>
    </row>
    <row r="67" spans="3:16" ht="13.8" thickBot="1" x14ac:dyDescent="0.3">
      <c r="C67" s="281">
        <f t="shared" si="2"/>
        <v>51</v>
      </c>
      <c r="D67" s="239" t="s">
        <v>71</v>
      </c>
      <c r="E67" s="272">
        <f t="shared" si="0"/>
        <v>160</v>
      </c>
      <c r="F67" s="273"/>
      <c r="G67" s="431">
        <f>163-1-2</f>
        <v>160</v>
      </c>
      <c r="H67" s="432"/>
      <c r="I67" s="431"/>
      <c r="J67" s="432"/>
      <c r="K67" s="431"/>
      <c r="L67" s="432"/>
      <c r="M67" s="431"/>
      <c r="N67" s="443"/>
      <c r="O67" s="433"/>
      <c r="P67" s="434"/>
    </row>
    <row r="68" spans="3:16" ht="27" customHeight="1" thickBot="1" x14ac:dyDescent="0.3">
      <c r="C68" s="281">
        <f t="shared" si="2"/>
        <v>52</v>
      </c>
      <c r="D68" s="321" t="s">
        <v>412</v>
      </c>
      <c r="E68" s="272">
        <f t="shared" si="0"/>
        <v>691.97974999999997</v>
      </c>
      <c r="F68" s="273"/>
      <c r="G68" s="501">
        <f>413.7349+100+80</f>
        <v>593.73489999999993</v>
      </c>
      <c r="H68" s="432"/>
      <c r="I68" s="450">
        <f>91.30675+3.67433+3.26377</f>
        <v>98.244849999999985</v>
      </c>
      <c r="J68" s="432"/>
      <c r="K68" s="431"/>
      <c r="L68" s="432"/>
      <c r="M68" s="431"/>
      <c r="N68" s="443"/>
      <c r="O68" s="433"/>
      <c r="P68" s="434"/>
    </row>
    <row r="69" spans="3:16" ht="27" thickBot="1" x14ac:dyDescent="0.3">
      <c r="C69" s="281">
        <f t="shared" si="2"/>
        <v>53</v>
      </c>
      <c r="D69" s="239" t="s">
        <v>420</v>
      </c>
      <c r="E69" s="272">
        <f t="shared" si="0"/>
        <v>14.5</v>
      </c>
      <c r="F69" s="273"/>
      <c r="G69" s="431">
        <f>10+1.5+1+2</f>
        <v>14.5</v>
      </c>
      <c r="H69" s="432"/>
      <c r="I69" s="431"/>
      <c r="J69" s="432"/>
      <c r="K69" s="431"/>
      <c r="L69" s="432"/>
      <c r="M69" s="431"/>
      <c r="N69" s="443"/>
      <c r="O69" s="433"/>
      <c r="P69" s="434"/>
    </row>
    <row r="70" spans="3:16" ht="27" thickBot="1" x14ac:dyDescent="0.3">
      <c r="C70" s="281">
        <f t="shared" si="2"/>
        <v>54</v>
      </c>
      <c r="D70" s="239" t="s">
        <v>455</v>
      </c>
      <c r="E70" s="272">
        <f t="shared" si="0"/>
        <v>2253</v>
      </c>
      <c r="F70" s="273"/>
      <c r="G70" s="431"/>
      <c r="H70" s="432"/>
      <c r="I70" s="431">
        <f>1587+666</f>
        <v>2253</v>
      </c>
      <c r="J70" s="432"/>
      <c r="K70" s="431"/>
      <c r="L70" s="432"/>
      <c r="M70" s="431"/>
      <c r="N70" s="443"/>
      <c r="O70" s="433"/>
      <c r="P70" s="434"/>
    </row>
    <row r="71" spans="3:16" ht="13.8" thickBot="1" x14ac:dyDescent="0.3">
      <c r="C71" s="281">
        <f t="shared" si="2"/>
        <v>55</v>
      </c>
      <c r="D71" s="239" t="s">
        <v>249</v>
      </c>
      <c r="E71" s="272">
        <f t="shared" si="0"/>
        <v>55</v>
      </c>
      <c r="F71" s="273"/>
      <c r="G71" s="431">
        <v>55</v>
      </c>
      <c r="H71" s="432"/>
      <c r="I71" s="431"/>
      <c r="J71" s="432"/>
      <c r="K71" s="431"/>
      <c r="L71" s="432"/>
      <c r="M71" s="431"/>
      <c r="N71" s="443"/>
      <c r="O71" s="433"/>
      <c r="P71" s="434"/>
    </row>
    <row r="72" spans="3:16" ht="13.8" thickBot="1" x14ac:dyDescent="0.3">
      <c r="C72" s="281">
        <f t="shared" si="2"/>
        <v>56</v>
      </c>
      <c r="D72" s="239" t="s">
        <v>252</v>
      </c>
      <c r="E72" s="272">
        <f t="shared" si="0"/>
        <v>0</v>
      </c>
      <c r="F72" s="273"/>
      <c r="G72" s="431">
        <f>3-1.5-1.5</f>
        <v>0</v>
      </c>
      <c r="H72" s="432"/>
      <c r="I72" s="431"/>
      <c r="J72" s="432"/>
      <c r="K72" s="431"/>
      <c r="L72" s="432"/>
      <c r="M72" s="431"/>
      <c r="N72" s="443"/>
      <c r="O72" s="433"/>
      <c r="P72" s="434"/>
    </row>
    <row r="73" spans="3:16" ht="13.8" thickBot="1" x14ac:dyDescent="0.3">
      <c r="C73" s="281">
        <f t="shared" si="2"/>
        <v>57</v>
      </c>
      <c r="D73" s="239" t="s">
        <v>72</v>
      </c>
      <c r="E73" s="272">
        <f t="shared" si="0"/>
        <v>400</v>
      </c>
      <c r="F73" s="273"/>
      <c r="G73" s="431">
        <v>400</v>
      </c>
      <c r="H73" s="432"/>
      <c r="I73" s="431"/>
      <c r="J73" s="432"/>
      <c r="K73" s="431"/>
      <c r="L73" s="432"/>
      <c r="M73" s="431"/>
      <c r="N73" s="443"/>
      <c r="O73" s="433"/>
      <c r="P73" s="434"/>
    </row>
    <row r="74" spans="3:16" ht="13.8" thickBot="1" x14ac:dyDescent="0.3">
      <c r="C74" s="281">
        <f t="shared" si="2"/>
        <v>58</v>
      </c>
      <c r="D74" s="239" t="s">
        <v>213</v>
      </c>
      <c r="E74" s="272">
        <f t="shared" si="0"/>
        <v>2607.02421</v>
      </c>
      <c r="F74" s="273"/>
      <c r="G74" s="450">
        <f>103.92421+7.8+1.5</f>
        <v>113.22421</v>
      </c>
      <c r="H74" s="432"/>
      <c r="I74" s="431">
        <v>2493.8000000000002</v>
      </c>
      <c r="J74" s="432"/>
      <c r="K74" s="431"/>
      <c r="L74" s="432"/>
      <c r="M74" s="431"/>
      <c r="N74" s="443"/>
      <c r="O74" s="433"/>
      <c r="P74" s="434"/>
    </row>
    <row r="75" spans="3:16" ht="13.8" thickBot="1" x14ac:dyDescent="0.3">
      <c r="C75" s="281">
        <f t="shared" si="2"/>
        <v>59</v>
      </c>
      <c r="D75" s="317" t="s">
        <v>220</v>
      </c>
      <c r="E75" s="272">
        <f t="shared" si="0"/>
        <v>80</v>
      </c>
      <c r="F75" s="273"/>
      <c r="G75" s="431">
        <v>80</v>
      </c>
      <c r="H75" s="432"/>
      <c r="I75" s="431"/>
      <c r="J75" s="432"/>
      <c r="K75" s="431"/>
      <c r="L75" s="432"/>
      <c r="M75" s="431"/>
      <c r="N75" s="443"/>
      <c r="O75" s="433"/>
      <c r="P75" s="434"/>
    </row>
    <row r="76" spans="3:16" ht="12.75" customHeight="1" thickBot="1" x14ac:dyDescent="0.3">
      <c r="C76" s="282">
        <f t="shared" si="2"/>
        <v>60</v>
      </c>
      <c r="D76" s="295" t="s">
        <v>588</v>
      </c>
      <c r="E76" s="272">
        <f t="shared" si="0"/>
        <v>60.256</v>
      </c>
      <c r="F76" s="273"/>
      <c r="G76" s="436">
        <f>SUM(G77:G80)</f>
        <v>60.256</v>
      </c>
      <c r="H76" s="435"/>
      <c r="I76" s="436"/>
      <c r="J76" s="435"/>
      <c r="K76" s="436"/>
      <c r="L76" s="435"/>
      <c r="M76" s="436"/>
      <c r="N76" s="446"/>
      <c r="O76" s="447"/>
      <c r="P76" s="448"/>
    </row>
    <row r="77" spans="3:16" ht="12.75" customHeight="1" thickBot="1" x14ac:dyDescent="0.3">
      <c r="C77" s="281">
        <f t="shared" si="2"/>
        <v>61</v>
      </c>
      <c r="D77" s="239" t="s">
        <v>73</v>
      </c>
      <c r="E77" s="272">
        <f t="shared" si="0"/>
        <v>21.387999999999998</v>
      </c>
      <c r="F77" s="273"/>
      <c r="G77" s="431">
        <f>50-15.6-13.012</f>
        <v>21.387999999999998</v>
      </c>
      <c r="H77" s="432"/>
      <c r="I77" s="431"/>
      <c r="J77" s="432"/>
      <c r="K77" s="431"/>
      <c r="L77" s="432"/>
      <c r="M77" s="431"/>
      <c r="N77" s="443"/>
      <c r="O77" s="433"/>
      <c r="P77" s="434"/>
    </row>
    <row r="78" spans="3:16" ht="27" thickBot="1" x14ac:dyDescent="0.3">
      <c r="C78" s="281">
        <f t="shared" si="2"/>
        <v>62</v>
      </c>
      <c r="D78" s="239" t="s">
        <v>74</v>
      </c>
      <c r="E78" s="272">
        <f t="shared" si="0"/>
        <v>14.45</v>
      </c>
      <c r="F78" s="273"/>
      <c r="G78" s="431">
        <f>25-10.55</f>
        <v>14.45</v>
      </c>
      <c r="H78" s="432"/>
      <c r="I78" s="431"/>
      <c r="J78" s="432"/>
      <c r="K78" s="431"/>
      <c r="L78" s="432"/>
      <c r="M78" s="431"/>
      <c r="N78" s="443"/>
      <c r="O78" s="433"/>
      <c r="P78" s="434"/>
    </row>
    <row r="79" spans="3:16" ht="27" thickBot="1" x14ac:dyDescent="0.3">
      <c r="C79" s="281">
        <f t="shared" si="2"/>
        <v>63</v>
      </c>
      <c r="D79" s="239" t="s">
        <v>446</v>
      </c>
      <c r="E79" s="272">
        <f t="shared" si="0"/>
        <v>8.9980000000000011</v>
      </c>
      <c r="F79" s="273"/>
      <c r="G79" s="431">
        <f>15-6.002</f>
        <v>8.9980000000000011</v>
      </c>
      <c r="H79" s="432"/>
      <c r="I79" s="431"/>
      <c r="J79" s="432"/>
      <c r="K79" s="431"/>
      <c r="L79" s="432"/>
      <c r="M79" s="431"/>
      <c r="N79" s="443"/>
      <c r="O79" s="433"/>
      <c r="P79" s="434"/>
    </row>
    <row r="80" spans="3:16" ht="13.8" thickBot="1" x14ac:dyDescent="0.3">
      <c r="C80" s="281">
        <f t="shared" si="2"/>
        <v>64</v>
      </c>
      <c r="D80" s="239" t="s">
        <v>589</v>
      </c>
      <c r="E80" s="272">
        <f t="shared" si="0"/>
        <v>15.42</v>
      </c>
      <c r="F80" s="273"/>
      <c r="G80" s="461">
        <f>15.6-0.18</f>
        <v>15.42</v>
      </c>
      <c r="H80" s="451"/>
      <c r="I80" s="453"/>
      <c r="J80" s="451"/>
      <c r="K80" s="453"/>
      <c r="L80" s="451"/>
      <c r="M80" s="453"/>
      <c r="N80" s="454"/>
      <c r="O80" s="455"/>
      <c r="P80" s="456"/>
    </row>
    <row r="81" spans="3:16" ht="12.75" customHeight="1" thickBot="1" x14ac:dyDescent="0.3">
      <c r="C81" s="282">
        <f t="shared" si="2"/>
        <v>65</v>
      </c>
      <c r="D81" s="295" t="s">
        <v>590</v>
      </c>
      <c r="E81" s="272">
        <f t="shared" si="0"/>
        <v>1500.31729</v>
      </c>
      <c r="F81" s="273"/>
      <c r="G81" s="449">
        <f>SUM(G82:G90)</f>
        <v>1461.258</v>
      </c>
      <c r="H81" s="440"/>
      <c r="I81" s="438">
        <f>I89+I94+I95</f>
        <v>39.059289999999997</v>
      </c>
      <c r="J81" s="435"/>
      <c r="K81" s="436"/>
      <c r="L81" s="435"/>
      <c r="M81" s="436"/>
      <c r="N81" s="446"/>
      <c r="O81" s="447"/>
      <c r="P81" s="448"/>
    </row>
    <row r="82" spans="3:16" ht="27" thickBot="1" x14ac:dyDescent="0.3">
      <c r="C82" s="281">
        <f t="shared" si="2"/>
        <v>66</v>
      </c>
      <c r="D82" s="239" t="s">
        <v>443</v>
      </c>
      <c r="E82" s="272">
        <f t="shared" ref="E82:E145" si="3">G82+I82+K82+M82+O82</f>
        <v>1.5</v>
      </c>
      <c r="F82" s="273"/>
      <c r="G82" s="431">
        <v>1.5</v>
      </c>
      <c r="H82" s="432"/>
      <c r="I82" s="431"/>
      <c r="J82" s="432"/>
      <c r="K82" s="431"/>
      <c r="L82" s="432"/>
      <c r="M82" s="431"/>
      <c r="N82" s="443"/>
      <c r="O82" s="433"/>
      <c r="P82" s="434"/>
    </row>
    <row r="83" spans="3:16" ht="13.8" thickBot="1" x14ac:dyDescent="0.3">
      <c r="C83" s="281">
        <f t="shared" si="2"/>
        <v>67</v>
      </c>
      <c r="D83" s="239" t="s">
        <v>441</v>
      </c>
      <c r="E83" s="272">
        <f t="shared" si="3"/>
        <v>1.5</v>
      </c>
      <c r="F83" s="273"/>
      <c r="G83" s="431">
        <v>1.5</v>
      </c>
      <c r="H83" s="432"/>
      <c r="I83" s="431"/>
      <c r="J83" s="432"/>
      <c r="K83" s="431"/>
      <c r="L83" s="432"/>
      <c r="M83" s="431"/>
      <c r="N83" s="443"/>
      <c r="O83" s="433"/>
      <c r="P83" s="434"/>
    </row>
    <row r="84" spans="3:16" ht="27" thickBot="1" x14ac:dyDescent="0.3">
      <c r="C84" s="281">
        <f t="shared" ref="C84:C147" si="4">C83+1</f>
        <v>68</v>
      </c>
      <c r="D84" s="239" t="s">
        <v>228</v>
      </c>
      <c r="E84" s="272">
        <f t="shared" si="3"/>
        <v>74.5</v>
      </c>
      <c r="F84" s="273"/>
      <c r="G84" s="431">
        <v>74.5</v>
      </c>
      <c r="H84" s="432"/>
      <c r="I84" s="431"/>
      <c r="J84" s="432"/>
      <c r="K84" s="431"/>
      <c r="L84" s="432"/>
      <c r="M84" s="431"/>
      <c r="N84" s="443"/>
      <c r="O84" s="433"/>
      <c r="P84" s="434"/>
    </row>
    <row r="85" spans="3:16" ht="27" customHeight="1" thickBot="1" x14ac:dyDescent="0.3">
      <c r="C85" s="281">
        <f t="shared" si="4"/>
        <v>69</v>
      </c>
      <c r="D85" s="239" t="s">
        <v>253</v>
      </c>
      <c r="E85" s="272">
        <f t="shared" si="3"/>
        <v>45.757999999999996</v>
      </c>
      <c r="F85" s="273"/>
      <c r="G85" s="431">
        <f>95-24-25.242</f>
        <v>45.757999999999996</v>
      </c>
      <c r="H85" s="432"/>
      <c r="I85" s="431"/>
      <c r="J85" s="432"/>
      <c r="K85" s="431"/>
      <c r="L85" s="432"/>
      <c r="M85" s="431"/>
      <c r="N85" s="443"/>
      <c r="O85" s="433"/>
      <c r="P85" s="434"/>
    </row>
    <row r="86" spans="3:16" ht="12.75" customHeight="1" thickBot="1" x14ac:dyDescent="0.3">
      <c r="C86" s="281">
        <f t="shared" si="4"/>
        <v>70</v>
      </c>
      <c r="D86" s="239" t="s">
        <v>442</v>
      </c>
      <c r="E86" s="272">
        <f t="shared" si="3"/>
        <v>50</v>
      </c>
      <c r="F86" s="273"/>
      <c r="G86" s="431">
        <v>50</v>
      </c>
      <c r="H86" s="432"/>
      <c r="I86" s="431"/>
      <c r="J86" s="432"/>
      <c r="K86" s="431"/>
      <c r="L86" s="432"/>
      <c r="M86" s="431"/>
      <c r="N86" s="443"/>
      <c r="O86" s="433"/>
      <c r="P86" s="434"/>
    </row>
    <row r="87" spans="3:16" ht="13.8" thickBot="1" x14ac:dyDescent="0.3">
      <c r="C87" s="281">
        <f t="shared" si="4"/>
        <v>71</v>
      </c>
      <c r="D87" s="239" t="s">
        <v>214</v>
      </c>
      <c r="E87" s="272">
        <f t="shared" si="3"/>
        <v>10</v>
      </c>
      <c r="F87" s="273"/>
      <c r="G87" s="431">
        <v>10</v>
      </c>
      <c r="H87" s="432"/>
      <c r="I87" s="431"/>
      <c r="J87" s="432"/>
      <c r="K87" s="431"/>
      <c r="L87" s="432"/>
      <c r="M87" s="431"/>
      <c r="N87" s="443"/>
      <c r="O87" s="433"/>
      <c r="P87" s="434"/>
    </row>
    <row r="88" spans="3:16" ht="13.8" thickBot="1" x14ac:dyDescent="0.3">
      <c r="C88" s="281">
        <f t="shared" si="4"/>
        <v>72</v>
      </c>
      <c r="D88" s="239" t="s">
        <v>215</v>
      </c>
      <c r="E88" s="272">
        <f t="shared" si="3"/>
        <v>1010</v>
      </c>
      <c r="F88" s="273"/>
      <c r="G88" s="431">
        <f>800+30+180</f>
        <v>1010</v>
      </c>
      <c r="H88" s="432"/>
      <c r="I88" s="431"/>
      <c r="J88" s="432"/>
      <c r="K88" s="431"/>
      <c r="L88" s="432"/>
      <c r="M88" s="431"/>
      <c r="N88" s="443"/>
      <c r="O88" s="433"/>
      <c r="P88" s="434"/>
    </row>
    <row r="89" spans="3:16" ht="13.8" thickBot="1" x14ac:dyDescent="0.3">
      <c r="C89" s="281">
        <f t="shared" si="4"/>
        <v>73</v>
      </c>
      <c r="D89" s="239" t="s">
        <v>78</v>
      </c>
      <c r="E89" s="272">
        <f t="shared" si="3"/>
        <v>260.89172000000002</v>
      </c>
      <c r="F89" s="273"/>
      <c r="G89" s="431">
        <v>246</v>
      </c>
      <c r="H89" s="432"/>
      <c r="I89" s="450">
        <v>14.891719999999999</v>
      </c>
      <c r="J89" s="432"/>
      <c r="K89" s="431"/>
      <c r="L89" s="432"/>
      <c r="M89" s="431"/>
      <c r="N89" s="443"/>
      <c r="O89" s="433"/>
      <c r="P89" s="434"/>
    </row>
    <row r="90" spans="3:16" ht="13.8" thickBot="1" x14ac:dyDescent="0.3">
      <c r="C90" s="281">
        <f t="shared" si="4"/>
        <v>74</v>
      </c>
      <c r="D90" s="239" t="s">
        <v>457</v>
      </c>
      <c r="E90" s="272">
        <f t="shared" si="3"/>
        <v>22</v>
      </c>
      <c r="F90" s="273"/>
      <c r="G90" s="444">
        <f>G91+G92+G93</f>
        <v>22</v>
      </c>
      <c r="H90" s="445"/>
      <c r="I90" s="444"/>
      <c r="J90" s="445"/>
      <c r="K90" s="444"/>
      <c r="L90" s="445"/>
      <c r="M90" s="444"/>
      <c r="N90" s="443"/>
      <c r="O90" s="433"/>
      <c r="P90" s="434"/>
    </row>
    <row r="91" spans="3:16" ht="27" thickBot="1" x14ac:dyDescent="0.3">
      <c r="C91" s="281">
        <f t="shared" si="4"/>
        <v>75</v>
      </c>
      <c r="D91" s="285" t="s">
        <v>289</v>
      </c>
      <c r="E91" s="272">
        <f t="shared" si="3"/>
        <v>5</v>
      </c>
      <c r="F91" s="273"/>
      <c r="G91" s="444">
        <v>5</v>
      </c>
      <c r="H91" s="445"/>
      <c r="I91" s="444"/>
      <c r="J91" s="445"/>
      <c r="K91" s="444"/>
      <c r="L91" s="445"/>
      <c r="M91" s="444"/>
      <c r="N91" s="443"/>
      <c r="O91" s="433"/>
      <c r="P91" s="434"/>
    </row>
    <row r="92" spans="3:16" ht="27" thickBot="1" x14ac:dyDescent="0.3">
      <c r="C92" s="281">
        <f t="shared" si="4"/>
        <v>76</v>
      </c>
      <c r="D92" s="285" t="s">
        <v>444</v>
      </c>
      <c r="E92" s="272">
        <f t="shared" si="3"/>
        <v>15.5</v>
      </c>
      <c r="F92" s="273"/>
      <c r="G92" s="444">
        <v>15.5</v>
      </c>
      <c r="H92" s="445"/>
      <c r="I92" s="444"/>
      <c r="J92" s="445"/>
      <c r="K92" s="444"/>
      <c r="L92" s="445"/>
      <c r="M92" s="444"/>
      <c r="N92" s="443"/>
      <c r="O92" s="433"/>
      <c r="P92" s="434"/>
    </row>
    <row r="93" spans="3:16" ht="27" thickBot="1" x14ac:dyDescent="0.3">
      <c r="C93" s="281">
        <f t="shared" si="4"/>
        <v>77</v>
      </c>
      <c r="D93" s="285" t="s">
        <v>514</v>
      </c>
      <c r="E93" s="272">
        <f t="shared" si="3"/>
        <v>1.5</v>
      </c>
      <c r="F93" s="273"/>
      <c r="G93" s="444">
        <v>1.5</v>
      </c>
      <c r="H93" s="445"/>
      <c r="I93" s="444"/>
      <c r="J93" s="445"/>
      <c r="K93" s="444"/>
      <c r="L93" s="445"/>
      <c r="M93" s="444"/>
      <c r="N93" s="443"/>
      <c r="O93" s="433"/>
      <c r="P93" s="434"/>
    </row>
    <row r="94" spans="3:16" ht="27" thickBot="1" x14ac:dyDescent="0.3">
      <c r="C94" s="281">
        <f t="shared" si="4"/>
        <v>78</v>
      </c>
      <c r="D94" s="322" t="s">
        <v>591</v>
      </c>
      <c r="E94" s="272">
        <f t="shared" si="3"/>
        <v>7.6724999999999994</v>
      </c>
      <c r="F94" s="273"/>
      <c r="G94" s="453"/>
      <c r="H94" s="451"/>
      <c r="I94" s="453">
        <f>1.116+6.5565</f>
        <v>7.6724999999999994</v>
      </c>
      <c r="J94" s="451"/>
      <c r="K94" s="453"/>
      <c r="L94" s="451"/>
      <c r="M94" s="453"/>
      <c r="N94" s="454"/>
      <c r="O94" s="455"/>
      <c r="P94" s="456"/>
    </row>
    <row r="95" spans="3:16" ht="27" thickBot="1" x14ac:dyDescent="0.3">
      <c r="C95" s="281">
        <f t="shared" si="4"/>
        <v>79</v>
      </c>
      <c r="D95" s="322" t="s">
        <v>592</v>
      </c>
      <c r="E95" s="272">
        <f t="shared" si="3"/>
        <v>16.495069999999998</v>
      </c>
      <c r="F95" s="273"/>
      <c r="G95" s="453"/>
      <c r="H95" s="451"/>
      <c r="I95" s="452">
        <v>16.495069999999998</v>
      </c>
      <c r="J95" s="451"/>
      <c r="K95" s="453"/>
      <c r="L95" s="451"/>
      <c r="M95" s="453"/>
      <c r="N95" s="454"/>
      <c r="O95" s="455"/>
      <c r="P95" s="456"/>
    </row>
    <row r="96" spans="3:16" ht="13.8" thickBot="1" x14ac:dyDescent="0.3">
      <c r="C96" s="282">
        <f t="shared" si="4"/>
        <v>80</v>
      </c>
      <c r="D96" s="295" t="s">
        <v>593</v>
      </c>
      <c r="E96" s="272">
        <f t="shared" si="3"/>
        <v>148.07096999999999</v>
      </c>
      <c r="F96" s="273"/>
      <c r="G96" s="438">
        <f>SUM(G97:G100)</f>
        <v>148.07096999999999</v>
      </c>
      <c r="H96" s="435"/>
      <c r="I96" s="436"/>
      <c r="J96" s="435"/>
      <c r="K96" s="436"/>
      <c r="L96" s="435"/>
      <c r="M96" s="436"/>
      <c r="N96" s="446"/>
      <c r="O96" s="447"/>
      <c r="P96" s="448"/>
    </row>
    <row r="97" spans="3:16" ht="13.8" thickBot="1" x14ac:dyDescent="0.3">
      <c r="C97" s="281">
        <f t="shared" si="4"/>
        <v>81</v>
      </c>
      <c r="D97" s="239" t="s">
        <v>254</v>
      </c>
      <c r="E97" s="272">
        <f t="shared" si="3"/>
        <v>65.3</v>
      </c>
      <c r="F97" s="273"/>
      <c r="G97" s="431">
        <v>65.3</v>
      </c>
      <c r="H97" s="432"/>
      <c r="I97" s="431"/>
      <c r="J97" s="432"/>
      <c r="K97" s="431"/>
      <c r="L97" s="432"/>
      <c r="M97" s="431"/>
      <c r="N97" s="443"/>
      <c r="O97" s="433"/>
      <c r="P97" s="434"/>
    </row>
    <row r="98" spans="3:16" ht="27" thickBot="1" x14ac:dyDescent="0.3">
      <c r="C98" s="281">
        <f t="shared" si="4"/>
        <v>82</v>
      </c>
      <c r="D98" s="239" t="s">
        <v>502</v>
      </c>
      <c r="E98" s="272">
        <f t="shared" si="3"/>
        <v>3.7709700000000002</v>
      </c>
      <c r="F98" s="273"/>
      <c r="G98" s="450">
        <v>3.7709700000000002</v>
      </c>
      <c r="H98" s="432"/>
      <c r="I98" s="431"/>
      <c r="J98" s="432"/>
      <c r="K98" s="431"/>
      <c r="L98" s="432"/>
      <c r="M98" s="431"/>
      <c r="N98" s="443"/>
      <c r="O98" s="433"/>
      <c r="P98" s="434"/>
    </row>
    <row r="99" spans="3:16" ht="13.8" thickBot="1" x14ac:dyDescent="0.3">
      <c r="C99" s="281">
        <f t="shared" si="4"/>
        <v>83</v>
      </c>
      <c r="D99" s="239" t="s">
        <v>668</v>
      </c>
      <c r="E99" s="272">
        <f t="shared" si="3"/>
        <v>75</v>
      </c>
      <c r="F99" s="273"/>
      <c r="G99" s="453">
        <v>75</v>
      </c>
      <c r="H99" s="451"/>
      <c r="I99" s="453"/>
      <c r="J99" s="451"/>
      <c r="K99" s="453"/>
      <c r="L99" s="451"/>
      <c r="M99" s="453"/>
      <c r="N99" s="454"/>
      <c r="O99" s="455"/>
      <c r="P99" s="456"/>
    </row>
    <row r="100" spans="3:16" ht="13.8" thickBot="1" x14ac:dyDescent="0.3">
      <c r="C100" s="281">
        <f t="shared" si="4"/>
        <v>84</v>
      </c>
      <c r="D100" s="239" t="s">
        <v>669</v>
      </c>
      <c r="E100" s="272">
        <f t="shared" si="3"/>
        <v>4</v>
      </c>
      <c r="F100" s="273"/>
      <c r="G100" s="453">
        <v>4</v>
      </c>
      <c r="H100" s="451"/>
      <c r="I100" s="453"/>
      <c r="J100" s="451"/>
      <c r="K100" s="453"/>
      <c r="L100" s="451"/>
      <c r="M100" s="453"/>
      <c r="N100" s="454"/>
      <c r="O100" s="455"/>
      <c r="P100" s="456"/>
    </row>
    <row r="101" spans="3:16" ht="13.8" thickBot="1" x14ac:dyDescent="0.3">
      <c r="C101" s="282">
        <f t="shared" si="4"/>
        <v>85</v>
      </c>
      <c r="D101" s="318" t="s">
        <v>594</v>
      </c>
      <c r="E101" s="272">
        <f t="shared" si="3"/>
        <v>495.54146000000003</v>
      </c>
      <c r="F101" s="273">
        <f t="shared" ref="F101:F145" si="5">H101+J101+L101+N101+P101</f>
        <v>0.379</v>
      </c>
      <c r="G101" s="436">
        <f>G102+G103+G104+G106</f>
        <v>189.54846000000001</v>
      </c>
      <c r="H101" s="435"/>
      <c r="I101" s="436">
        <f>I102+I105</f>
        <v>305.99299999999999</v>
      </c>
      <c r="J101" s="436">
        <f>J102+J105</f>
        <v>0.379</v>
      </c>
      <c r="K101" s="436"/>
      <c r="L101" s="435"/>
      <c r="M101" s="436"/>
      <c r="N101" s="446"/>
      <c r="O101" s="447"/>
      <c r="P101" s="448"/>
    </row>
    <row r="102" spans="3:16" ht="13.8" thickBot="1" x14ac:dyDescent="0.3">
      <c r="C102" s="281">
        <f t="shared" si="4"/>
        <v>86</v>
      </c>
      <c r="D102" s="239" t="s">
        <v>217</v>
      </c>
      <c r="E102" s="272">
        <f t="shared" si="3"/>
        <v>287</v>
      </c>
      <c r="F102" s="273"/>
      <c r="G102" s="431"/>
      <c r="H102" s="432"/>
      <c r="I102" s="431">
        <v>287</v>
      </c>
      <c r="J102" s="432"/>
      <c r="K102" s="431"/>
      <c r="L102" s="432"/>
      <c r="M102" s="431"/>
      <c r="N102" s="443"/>
      <c r="O102" s="433"/>
      <c r="P102" s="434"/>
    </row>
    <row r="103" spans="3:16" ht="13.8" thickBot="1" x14ac:dyDescent="0.3">
      <c r="C103" s="281">
        <f t="shared" si="4"/>
        <v>87</v>
      </c>
      <c r="D103" s="239" t="s">
        <v>216</v>
      </c>
      <c r="E103" s="272">
        <f t="shared" si="3"/>
        <v>120</v>
      </c>
      <c r="F103" s="273"/>
      <c r="G103" s="431">
        <v>120</v>
      </c>
      <c r="H103" s="432"/>
      <c r="I103" s="431"/>
      <c r="J103" s="432"/>
      <c r="K103" s="431"/>
      <c r="L103" s="432"/>
      <c r="M103" s="431"/>
      <c r="N103" s="443"/>
      <c r="O103" s="433"/>
      <c r="P103" s="434"/>
    </row>
    <row r="104" spans="3:16" ht="27" thickBot="1" x14ac:dyDescent="0.3">
      <c r="C104" s="281">
        <f t="shared" si="4"/>
        <v>88</v>
      </c>
      <c r="D104" s="239" t="s">
        <v>421</v>
      </c>
      <c r="E104" s="272">
        <f t="shared" si="3"/>
        <v>59.672460000000001</v>
      </c>
      <c r="F104" s="273"/>
      <c r="G104" s="450">
        <v>59.672460000000001</v>
      </c>
      <c r="H104" s="432"/>
      <c r="I104" s="459"/>
      <c r="J104" s="432"/>
      <c r="K104" s="431"/>
      <c r="L104" s="432"/>
      <c r="M104" s="431"/>
      <c r="N104" s="443"/>
      <c r="O104" s="433"/>
      <c r="P104" s="434"/>
    </row>
    <row r="105" spans="3:16" ht="13.8" thickBot="1" x14ac:dyDescent="0.3">
      <c r="C105" s="281">
        <f t="shared" si="4"/>
        <v>89</v>
      </c>
      <c r="D105" s="239" t="s">
        <v>472</v>
      </c>
      <c r="E105" s="272">
        <f t="shared" si="3"/>
        <v>18.992999999999999</v>
      </c>
      <c r="F105" s="273">
        <f t="shared" si="5"/>
        <v>0.379</v>
      </c>
      <c r="G105" s="431"/>
      <c r="H105" s="432"/>
      <c r="I105" s="459">
        <v>18.992999999999999</v>
      </c>
      <c r="J105" s="432">
        <v>0.379</v>
      </c>
      <c r="K105" s="431"/>
      <c r="L105" s="432"/>
      <c r="M105" s="431"/>
      <c r="N105" s="443"/>
      <c r="O105" s="433"/>
      <c r="P105" s="434"/>
    </row>
    <row r="106" spans="3:16" ht="13.8" thickBot="1" x14ac:dyDescent="0.3">
      <c r="C106" s="281">
        <f t="shared" si="4"/>
        <v>90</v>
      </c>
      <c r="D106" s="239" t="s">
        <v>533</v>
      </c>
      <c r="E106" s="272">
        <f t="shared" si="3"/>
        <v>9.8759999999999994</v>
      </c>
      <c r="F106" s="273"/>
      <c r="G106" s="460">
        <v>9.8759999999999994</v>
      </c>
      <c r="H106" s="451"/>
      <c r="I106" s="461"/>
      <c r="J106" s="451"/>
      <c r="K106" s="461"/>
      <c r="L106" s="451"/>
      <c r="M106" s="453"/>
      <c r="N106" s="454"/>
      <c r="O106" s="455"/>
      <c r="P106" s="456"/>
    </row>
    <row r="107" spans="3:16" ht="13.8" thickBot="1" x14ac:dyDescent="0.3">
      <c r="C107" s="282">
        <f t="shared" si="4"/>
        <v>91</v>
      </c>
      <c r="D107" s="286" t="s">
        <v>595</v>
      </c>
      <c r="E107" s="1009">
        <f t="shared" si="3"/>
        <v>442.90433999999999</v>
      </c>
      <c r="F107" s="273">
        <f t="shared" si="5"/>
        <v>34.512830000000001</v>
      </c>
      <c r="G107" s="462">
        <f>SUM(G108:G127)</f>
        <v>311.90433999999999</v>
      </c>
      <c r="H107" s="463">
        <f>SUM(H108:H127)</f>
        <v>5.8070199999999996</v>
      </c>
      <c r="I107" s="464">
        <f>SUM(I108:I126)</f>
        <v>131</v>
      </c>
      <c r="J107" s="463">
        <f t="shared" ref="J107" si="6">SUM(J108:J126)</f>
        <v>28.70581</v>
      </c>
      <c r="K107" s="464"/>
      <c r="L107" s="440"/>
      <c r="M107" s="436"/>
      <c r="N107" s="446"/>
      <c r="O107" s="447"/>
      <c r="P107" s="448"/>
    </row>
    <row r="108" spans="3:16" ht="13.8" thickBot="1" x14ac:dyDescent="0.3">
      <c r="C108" s="281">
        <f t="shared" si="4"/>
        <v>92</v>
      </c>
      <c r="D108" s="317" t="s">
        <v>79</v>
      </c>
      <c r="E108" s="272">
        <f t="shared" si="3"/>
        <v>35</v>
      </c>
      <c r="F108" s="273"/>
      <c r="G108" s="431">
        <v>35</v>
      </c>
      <c r="H108" s="432"/>
      <c r="I108" s="431"/>
      <c r="J108" s="432"/>
      <c r="K108" s="431"/>
      <c r="L108" s="432"/>
      <c r="M108" s="431"/>
      <c r="N108" s="443"/>
      <c r="O108" s="433"/>
      <c r="P108" s="434"/>
    </row>
    <row r="109" spans="3:16" ht="13.8" thickBot="1" x14ac:dyDescent="0.3">
      <c r="C109" s="281">
        <f t="shared" si="4"/>
        <v>93</v>
      </c>
      <c r="D109" s="317" t="s">
        <v>236</v>
      </c>
      <c r="E109" s="272">
        <f t="shared" si="3"/>
        <v>4</v>
      </c>
      <c r="F109" s="273"/>
      <c r="G109" s="431">
        <v>4</v>
      </c>
      <c r="H109" s="432"/>
      <c r="I109" s="431"/>
      <c r="J109" s="432"/>
      <c r="K109" s="431"/>
      <c r="L109" s="432"/>
      <c r="M109" s="431"/>
      <c r="N109" s="443"/>
      <c r="O109" s="433"/>
      <c r="P109" s="434"/>
    </row>
    <row r="110" spans="3:16" ht="13.8" thickBot="1" x14ac:dyDescent="0.3">
      <c r="C110" s="281">
        <f t="shared" si="4"/>
        <v>94</v>
      </c>
      <c r="D110" s="323" t="s">
        <v>242</v>
      </c>
      <c r="E110" s="272">
        <f t="shared" si="3"/>
        <v>0</v>
      </c>
      <c r="F110" s="273"/>
      <c r="G110" s="431"/>
      <c r="H110" s="432"/>
      <c r="I110" s="431"/>
      <c r="J110" s="432"/>
      <c r="K110" s="431"/>
      <c r="L110" s="432"/>
      <c r="M110" s="431"/>
      <c r="N110" s="443"/>
      <c r="O110" s="433"/>
      <c r="P110" s="434"/>
    </row>
    <row r="111" spans="3:16" ht="13.8" thickBot="1" x14ac:dyDescent="0.3">
      <c r="C111" s="281">
        <f t="shared" si="4"/>
        <v>95</v>
      </c>
      <c r="D111" s="317" t="s">
        <v>80</v>
      </c>
      <c r="E111" s="1009">
        <f t="shared" si="3"/>
        <v>159.79249999999999</v>
      </c>
      <c r="F111" s="273">
        <f t="shared" si="5"/>
        <v>34.512830000000001</v>
      </c>
      <c r="G111" s="450">
        <v>28.7925</v>
      </c>
      <c r="H111" s="458">
        <v>5.8070199999999996</v>
      </c>
      <c r="I111" s="431">
        <v>131</v>
      </c>
      <c r="J111" s="458">
        <f>30.048-1.33222-0.00997</f>
        <v>28.70581</v>
      </c>
      <c r="K111" s="431"/>
      <c r="L111" s="432"/>
      <c r="M111" s="431"/>
      <c r="N111" s="443"/>
      <c r="O111" s="433"/>
      <c r="P111" s="434"/>
    </row>
    <row r="112" spans="3:16" ht="13.8" thickBot="1" x14ac:dyDescent="0.3">
      <c r="C112" s="281">
        <f t="shared" si="4"/>
        <v>96</v>
      </c>
      <c r="D112" s="317" t="s">
        <v>81</v>
      </c>
      <c r="E112" s="272">
        <f t="shared" si="3"/>
        <v>1.9999999999999996</v>
      </c>
      <c r="F112" s="273"/>
      <c r="G112" s="431">
        <f>5.64-3.64</f>
        <v>1.9999999999999996</v>
      </c>
      <c r="H112" s="432"/>
      <c r="I112" s="431"/>
      <c r="J112" s="432"/>
      <c r="K112" s="431"/>
      <c r="L112" s="432"/>
      <c r="M112" s="431"/>
      <c r="N112" s="443"/>
      <c r="O112" s="433"/>
      <c r="P112" s="434"/>
    </row>
    <row r="113" spans="3:16" ht="13.8" thickBot="1" x14ac:dyDescent="0.3">
      <c r="C113" s="281">
        <f t="shared" si="4"/>
        <v>97</v>
      </c>
      <c r="D113" s="317" t="s">
        <v>82</v>
      </c>
      <c r="E113" s="272">
        <f t="shared" si="3"/>
        <v>4.5</v>
      </c>
      <c r="F113" s="273"/>
      <c r="G113" s="431">
        <f>5-0.5</f>
        <v>4.5</v>
      </c>
      <c r="H113" s="432"/>
      <c r="I113" s="431"/>
      <c r="J113" s="432"/>
      <c r="K113" s="431"/>
      <c r="L113" s="432"/>
      <c r="M113" s="431"/>
      <c r="N113" s="443"/>
      <c r="O113" s="433"/>
      <c r="P113" s="434"/>
    </row>
    <row r="114" spans="3:16" ht="12.75" customHeight="1" thickBot="1" x14ac:dyDescent="0.3">
      <c r="C114" s="281">
        <f t="shared" si="4"/>
        <v>98</v>
      </c>
      <c r="D114" s="239" t="s">
        <v>83</v>
      </c>
      <c r="E114" s="272">
        <f t="shared" si="3"/>
        <v>7.1620000000000008</v>
      </c>
      <c r="F114" s="273"/>
      <c r="G114" s="501">
        <f>11.089-8.827+4.9</f>
        <v>7.1620000000000008</v>
      </c>
      <c r="H114" s="432"/>
      <c r="I114" s="431"/>
      <c r="J114" s="432"/>
      <c r="K114" s="431"/>
      <c r="L114" s="432"/>
      <c r="M114" s="431"/>
      <c r="N114" s="443"/>
      <c r="O114" s="433"/>
      <c r="P114" s="434"/>
    </row>
    <row r="115" spans="3:16" ht="27" thickBot="1" x14ac:dyDescent="0.3">
      <c r="C115" s="281">
        <f t="shared" si="4"/>
        <v>99</v>
      </c>
      <c r="D115" s="239" t="s">
        <v>596</v>
      </c>
      <c r="E115" s="272">
        <f t="shared" si="3"/>
        <v>25</v>
      </c>
      <c r="F115" s="273"/>
      <c r="G115" s="431">
        <v>25</v>
      </c>
      <c r="H115" s="432"/>
      <c r="I115" s="431"/>
      <c r="J115" s="432"/>
      <c r="K115" s="431"/>
      <c r="L115" s="432"/>
      <c r="M115" s="431"/>
      <c r="N115" s="443"/>
      <c r="O115" s="433"/>
      <c r="P115" s="434"/>
    </row>
    <row r="116" spans="3:16" ht="13.8" thickBot="1" x14ac:dyDescent="0.3">
      <c r="C116" s="281">
        <f t="shared" si="4"/>
        <v>100</v>
      </c>
      <c r="D116" s="239" t="s">
        <v>227</v>
      </c>
      <c r="E116" s="272">
        <f t="shared" si="3"/>
        <v>61.670999999999999</v>
      </c>
      <c r="F116" s="273"/>
      <c r="G116" s="431">
        <f>52.9+3.64+5.131</f>
        <v>61.670999999999999</v>
      </c>
      <c r="H116" s="432"/>
      <c r="I116" s="431"/>
      <c r="J116" s="432"/>
      <c r="K116" s="431"/>
      <c r="L116" s="432"/>
      <c r="M116" s="431"/>
      <c r="N116" s="443"/>
      <c r="O116" s="433"/>
      <c r="P116" s="434"/>
    </row>
    <row r="117" spans="3:16" ht="13.8" thickBot="1" x14ac:dyDescent="0.3">
      <c r="C117" s="281">
        <f t="shared" si="4"/>
        <v>101</v>
      </c>
      <c r="D117" s="239" t="s">
        <v>456</v>
      </c>
      <c r="E117" s="272">
        <f t="shared" si="3"/>
        <v>30</v>
      </c>
      <c r="F117" s="273"/>
      <c r="G117" s="431">
        <v>30</v>
      </c>
      <c r="H117" s="432"/>
      <c r="I117" s="431"/>
      <c r="J117" s="432"/>
      <c r="K117" s="431"/>
      <c r="L117" s="432"/>
      <c r="M117" s="431"/>
      <c r="N117" s="443"/>
      <c r="O117" s="433"/>
      <c r="P117" s="434"/>
    </row>
    <row r="118" spans="3:16" ht="24.75" customHeight="1" thickBot="1" x14ac:dyDescent="0.3">
      <c r="C118" s="281">
        <f t="shared" si="4"/>
        <v>102</v>
      </c>
      <c r="D118" s="239" t="s">
        <v>276</v>
      </c>
      <c r="E118" s="272">
        <f t="shared" si="3"/>
        <v>20</v>
      </c>
      <c r="F118" s="273"/>
      <c r="G118" s="431">
        <v>20</v>
      </c>
      <c r="H118" s="432"/>
      <c r="I118" s="431"/>
      <c r="J118" s="432"/>
      <c r="K118" s="431"/>
      <c r="L118" s="432"/>
      <c r="M118" s="431"/>
      <c r="N118" s="443"/>
      <c r="O118" s="433"/>
      <c r="P118" s="434"/>
    </row>
    <row r="119" spans="3:16" ht="13.8" thickBot="1" x14ac:dyDescent="0.3">
      <c r="C119" s="281">
        <f t="shared" si="4"/>
        <v>103</v>
      </c>
      <c r="D119" s="317" t="s">
        <v>84</v>
      </c>
      <c r="E119" s="272">
        <f t="shared" si="3"/>
        <v>3.3</v>
      </c>
      <c r="F119" s="273"/>
      <c r="G119" s="431">
        <v>3.3</v>
      </c>
      <c r="H119" s="432"/>
      <c r="I119" s="431"/>
      <c r="J119" s="432"/>
      <c r="K119" s="431"/>
      <c r="L119" s="432"/>
      <c r="M119" s="431"/>
      <c r="N119" s="443"/>
      <c r="O119" s="433"/>
      <c r="P119" s="434"/>
    </row>
    <row r="120" spans="3:16" ht="12.75" customHeight="1" thickBot="1" x14ac:dyDescent="0.3">
      <c r="C120" s="281">
        <f t="shared" si="4"/>
        <v>104</v>
      </c>
      <c r="D120" s="239" t="s">
        <v>291</v>
      </c>
      <c r="E120" s="272">
        <f t="shared" si="3"/>
        <v>7</v>
      </c>
      <c r="F120" s="273"/>
      <c r="G120" s="431">
        <v>7</v>
      </c>
      <c r="H120" s="432"/>
      <c r="I120" s="431"/>
      <c r="J120" s="432"/>
      <c r="K120" s="431"/>
      <c r="L120" s="432"/>
      <c r="M120" s="431"/>
      <c r="N120" s="443"/>
      <c r="O120" s="433"/>
      <c r="P120" s="434"/>
    </row>
    <row r="121" spans="3:16" ht="12.75" customHeight="1" thickBot="1" x14ac:dyDescent="0.3">
      <c r="C121" s="281">
        <f t="shared" si="4"/>
        <v>105</v>
      </c>
      <c r="D121" s="239" t="s">
        <v>256</v>
      </c>
      <c r="E121" s="272">
        <f t="shared" si="3"/>
        <v>22.2</v>
      </c>
      <c r="F121" s="273"/>
      <c r="G121" s="431">
        <v>22.2</v>
      </c>
      <c r="H121" s="432"/>
      <c r="I121" s="431"/>
      <c r="J121" s="432"/>
      <c r="K121" s="431"/>
      <c r="L121" s="432"/>
      <c r="M121" s="431"/>
      <c r="N121" s="443"/>
      <c r="O121" s="433"/>
      <c r="P121" s="434"/>
    </row>
    <row r="122" spans="3:16" ht="12.75" customHeight="1" thickBot="1" x14ac:dyDescent="0.3">
      <c r="C122" s="281">
        <f t="shared" si="4"/>
        <v>106</v>
      </c>
      <c r="D122" s="239" t="s">
        <v>221</v>
      </c>
      <c r="E122" s="272">
        <f t="shared" si="3"/>
        <v>20</v>
      </c>
      <c r="F122" s="273"/>
      <c r="G122" s="431">
        <v>20</v>
      </c>
      <c r="H122" s="432"/>
      <c r="I122" s="431"/>
      <c r="J122" s="432"/>
      <c r="K122" s="431"/>
      <c r="L122" s="432"/>
      <c r="M122" s="431"/>
      <c r="N122" s="443"/>
      <c r="O122" s="433"/>
      <c r="P122" s="434"/>
    </row>
    <row r="123" spans="3:16" ht="12.75" customHeight="1" thickBot="1" x14ac:dyDescent="0.3">
      <c r="C123" s="281">
        <f t="shared" si="4"/>
        <v>107</v>
      </c>
      <c r="D123" s="239" t="s">
        <v>218</v>
      </c>
      <c r="E123" s="272">
        <f t="shared" si="3"/>
        <v>4</v>
      </c>
      <c r="F123" s="273"/>
      <c r="G123" s="431">
        <v>4</v>
      </c>
      <c r="H123" s="432"/>
      <c r="I123" s="431"/>
      <c r="J123" s="432"/>
      <c r="K123" s="431"/>
      <c r="L123" s="432"/>
      <c r="M123" s="431"/>
      <c r="N123" s="443"/>
      <c r="O123" s="433"/>
      <c r="P123" s="434"/>
    </row>
    <row r="124" spans="3:16" ht="12.75" customHeight="1" thickBot="1" x14ac:dyDescent="0.3">
      <c r="C124" s="281">
        <f t="shared" si="4"/>
        <v>108</v>
      </c>
      <c r="D124" s="317" t="s">
        <v>226</v>
      </c>
      <c r="E124" s="1009">
        <f t="shared" si="3"/>
        <v>29.513739999999999</v>
      </c>
      <c r="F124" s="273"/>
      <c r="G124" s="450">
        <f>34-4.48626</f>
        <v>29.513739999999999</v>
      </c>
      <c r="H124" s="432"/>
      <c r="I124" s="431"/>
      <c r="J124" s="432"/>
      <c r="K124" s="431"/>
      <c r="L124" s="432"/>
      <c r="M124" s="431"/>
      <c r="N124" s="443"/>
      <c r="O124" s="433"/>
      <c r="P124" s="434"/>
    </row>
    <row r="125" spans="3:16" ht="12.75" customHeight="1" thickBot="1" x14ac:dyDescent="0.3">
      <c r="C125" s="281">
        <f t="shared" si="4"/>
        <v>109</v>
      </c>
      <c r="D125" s="239" t="s">
        <v>288</v>
      </c>
      <c r="E125" s="272">
        <f t="shared" si="3"/>
        <v>6.5</v>
      </c>
      <c r="F125" s="273"/>
      <c r="G125" s="431">
        <v>6.5</v>
      </c>
      <c r="H125" s="432"/>
      <c r="I125" s="431"/>
      <c r="J125" s="432"/>
      <c r="K125" s="431"/>
      <c r="L125" s="432"/>
      <c r="M125" s="431"/>
      <c r="N125" s="443"/>
      <c r="O125" s="433"/>
      <c r="P125" s="434"/>
    </row>
    <row r="126" spans="3:16" ht="51" customHeight="1" thickBot="1" x14ac:dyDescent="0.3">
      <c r="C126" s="281">
        <f t="shared" si="4"/>
        <v>110</v>
      </c>
      <c r="D126" s="239" t="s">
        <v>597</v>
      </c>
      <c r="E126" s="272">
        <f t="shared" si="3"/>
        <v>0</v>
      </c>
      <c r="F126" s="273"/>
      <c r="G126" s="444"/>
      <c r="H126" s="445"/>
      <c r="I126" s="444">
        <v>0</v>
      </c>
      <c r="J126" s="445"/>
      <c r="K126" s="444"/>
      <c r="L126" s="445"/>
      <c r="M126" s="444"/>
      <c r="N126" s="443"/>
      <c r="O126" s="433"/>
      <c r="P126" s="434"/>
    </row>
    <row r="127" spans="3:16" ht="29.25" customHeight="1" thickBot="1" x14ac:dyDescent="0.3">
      <c r="C127" s="281">
        <f t="shared" si="4"/>
        <v>111</v>
      </c>
      <c r="D127" s="248" t="s">
        <v>598</v>
      </c>
      <c r="E127" s="272">
        <f t="shared" si="3"/>
        <v>1.2650999999999999</v>
      </c>
      <c r="F127" s="273"/>
      <c r="G127" s="453">
        <v>1.2650999999999999</v>
      </c>
      <c r="H127" s="451"/>
      <c r="I127" s="453"/>
      <c r="J127" s="451"/>
      <c r="K127" s="453"/>
      <c r="L127" s="451"/>
      <c r="M127" s="453"/>
      <c r="N127" s="454"/>
      <c r="O127" s="455"/>
      <c r="P127" s="456"/>
    </row>
    <row r="128" spans="3:16" ht="12.75" customHeight="1" thickBot="1" x14ac:dyDescent="0.3">
      <c r="C128" s="282">
        <f t="shared" si="4"/>
        <v>112</v>
      </c>
      <c r="D128" s="284" t="s">
        <v>599</v>
      </c>
      <c r="E128" s="272">
        <f t="shared" si="3"/>
        <v>264.26500000000004</v>
      </c>
      <c r="F128" s="273"/>
      <c r="G128" s="449">
        <f>SUM(G129:G137)</f>
        <v>264.26500000000004</v>
      </c>
      <c r="H128" s="440"/>
      <c r="I128" s="436"/>
      <c r="J128" s="435"/>
      <c r="K128" s="436"/>
      <c r="L128" s="435"/>
      <c r="M128" s="436"/>
      <c r="N128" s="446"/>
      <c r="O128" s="447"/>
      <c r="P128" s="448"/>
    </row>
    <row r="129" spans="3:16" ht="13.8" thickBot="1" x14ac:dyDescent="0.3">
      <c r="C129" s="281">
        <f t="shared" si="4"/>
        <v>113</v>
      </c>
      <c r="D129" s="239" t="s">
        <v>65</v>
      </c>
      <c r="E129" s="272">
        <f t="shared" si="3"/>
        <v>15.865000000000002</v>
      </c>
      <c r="F129" s="273"/>
      <c r="G129" s="431">
        <f>16+2.865-3</f>
        <v>15.865000000000002</v>
      </c>
      <c r="H129" s="432"/>
      <c r="I129" s="431"/>
      <c r="J129" s="432"/>
      <c r="K129" s="431"/>
      <c r="L129" s="432"/>
      <c r="M129" s="431"/>
      <c r="N129" s="443"/>
      <c r="O129" s="433"/>
      <c r="P129" s="434"/>
    </row>
    <row r="130" spans="3:16" ht="13.8" thickBot="1" x14ac:dyDescent="0.3">
      <c r="C130" s="281">
        <f t="shared" si="4"/>
        <v>114</v>
      </c>
      <c r="D130" s="239" t="s">
        <v>257</v>
      </c>
      <c r="E130" s="272">
        <f t="shared" si="3"/>
        <v>65</v>
      </c>
      <c r="F130" s="273"/>
      <c r="G130" s="431">
        <v>65</v>
      </c>
      <c r="H130" s="432"/>
      <c r="I130" s="431"/>
      <c r="J130" s="432"/>
      <c r="K130" s="431"/>
      <c r="L130" s="432"/>
      <c r="M130" s="431"/>
      <c r="N130" s="443"/>
      <c r="O130" s="433"/>
      <c r="P130" s="434"/>
    </row>
    <row r="131" spans="3:16" ht="13.8" thickBot="1" x14ac:dyDescent="0.3">
      <c r="C131" s="281">
        <f t="shared" si="4"/>
        <v>115</v>
      </c>
      <c r="D131" s="239" t="s">
        <v>457</v>
      </c>
      <c r="E131" s="272">
        <f t="shared" si="3"/>
        <v>16</v>
      </c>
      <c r="F131" s="273"/>
      <c r="G131" s="431">
        <v>16</v>
      </c>
      <c r="H131" s="432"/>
      <c r="I131" s="431"/>
      <c r="J131" s="432"/>
      <c r="K131" s="431"/>
      <c r="L131" s="432"/>
      <c r="M131" s="431"/>
      <c r="N131" s="443"/>
      <c r="O131" s="433"/>
      <c r="P131" s="434"/>
    </row>
    <row r="132" spans="3:16" ht="12.75" customHeight="1" thickBot="1" x14ac:dyDescent="0.3">
      <c r="C132" s="281">
        <f t="shared" si="4"/>
        <v>116</v>
      </c>
      <c r="D132" s="239" t="s">
        <v>258</v>
      </c>
      <c r="E132" s="272">
        <f t="shared" si="3"/>
        <v>41.8</v>
      </c>
      <c r="F132" s="273"/>
      <c r="G132" s="431">
        <f>45-3.2</f>
        <v>41.8</v>
      </c>
      <c r="H132" s="432"/>
      <c r="I132" s="431"/>
      <c r="J132" s="432"/>
      <c r="K132" s="431"/>
      <c r="L132" s="432"/>
      <c r="M132" s="431"/>
      <c r="N132" s="443"/>
      <c r="O132" s="433"/>
      <c r="P132" s="434"/>
    </row>
    <row r="133" spans="3:16" ht="27" thickBot="1" x14ac:dyDescent="0.3">
      <c r="C133" s="281">
        <f t="shared" si="4"/>
        <v>117</v>
      </c>
      <c r="D133" s="239" t="s">
        <v>261</v>
      </c>
      <c r="E133" s="272">
        <f t="shared" si="3"/>
        <v>15</v>
      </c>
      <c r="F133" s="273"/>
      <c r="G133" s="431">
        <v>15</v>
      </c>
      <c r="H133" s="432"/>
      <c r="I133" s="431"/>
      <c r="J133" s="432"/>
      <c r="K133" s="431"/>
      <c r="L133" s="432"/>
      <c r="M133" s="431"/>
      <c r="N133" s="443"/>
      <c r="O133" s="433"/>
      <c r="P133" s="434"/>
    </row>
    <row r="134" spans="3:16" ht="13.8" thickBot="1" x14ac:dyDescent="0.3">
      <c r="C134" s="281">
        <f t="shared" si="4"/>
        <v>118</v>
      </c>
      <c r="D134" s="239" t="s">
        <v>259</v>
      </c>
      <c r="E134" s="272">
        <f t="shared" si="3"/>
        <v>20</v>
      </c>
      <c r="F134" s="273"/>
      <c r="G134" s="431">
        <v>20</v>
      </c>
      <c r="H134" s="432"/>
      <c r="I134" s="431"/>
      <c r="J134" s="432"/>
      <c r="K134" s="431"/>
      <c r="L134" s="432"/>
      <c r="M134" s="431"/>
      <c r="N134" s="443"/>
      <c r="O134" s="433"/>
      <c r="P134" s="434"/>
    </row>
    <row r="135" spans="3:16" ht="27" thickBot="1" x14ac:dyDescent="0.3">
      <c r="C135" s="281">
        <f t="shared" si="4"/>
        <v>119</v>
      </c>
      <c r="D135" s="239" t="s">
        <v>260</v>
      </c>
      <c r="E135" s="272">
        <f t="shared" si="3"/>
        <v>11</v>
      </c>
      <c r="F135" s="273"/>
      <c r="G135" s="431">
        <v>11</v>
      </c>
      <c r="H135" s="432"/>
      <c r="I135" s="431"/>
      <c r="J135" s="432"/>
      <c r="K135" s="431"/>
      <c r="L135" s="432"/>
      <c r="M135" s="431"/>
      <c r="N135" s="443"/>
      <c r="O135" s="433"/>
      <c r="P135" s="434"/>
    </row>
    <row r="136" spans="3:16" ht="13.8" thickBot="1" x14ac:dyDescent="0.3">
      <c r="C136" s="281">
        <f t="shared" si="4"/>
        <v>120</v>
      </c>
      <c r="D136" s="239" t="s">
        <v>372</v>
      </c>
      <c r="E136" s="272">
        <f t="shared" si="3"/>
        <v>43.3</v>
      </c>
      <c r="F136" s="273"/>
      <c r="G136" s="431">
        <v>43.3</v>
      </c>
      <c r="H136" s="432"/>
      <c r="I136" s="431"/>
      <c r="J136" s="432"/>
      <c r="K136" s="431"/>
      <c r="L136" s="432"/>
      <c r="M136" s="431"/>
      <c r="N136" s="443"/>
      <c r="O136" s="433"/>
      <c r="P136" s="434"/>
    </row>
    <row r="137" spans="3:16" ht="27" thickBot="1" x14ac:dyDescent="0.3">
      <c r="C137" s="281">
        <f t="shared" si="4"/>
        <v>121</v>
      </c>
      <c r="D137" s="239" t="s">
        <v>422</v>
      </c>
      <c r="E137" s="272">
        <f t="shared" si="3"/>
        <v>36.299999999999997</v>
      </c>
      <c r="F137" s="273"/>
      <c r="G137" s="431">
        <v>36.299999999999997</v>
      </c>
      <c r="H137" s="432"/>
      <c r="I137" s="431"/>
      <c r="J137" s="458"/>
      <c r="K137" s="431"/>
      <c r="L137" s="432"/>
      <c r="M137" s="431"/>
      <c r="N137" s="443"/>
      <c r="O137" s="433"/>
      <c r="P137" s="434"/>
    </row>
    <row r="138" spans="3:16" ht="13.8" thickBot="1" x14ac:dyDescent="0.3">
      <c r="C138" s="282">
        <f t="shared" si="4"/>
        <v>122</v>
      </c>
      <c r="D138" s="318" t="s">
        <v>1</v>
      </c>
      <c r="E138" s="1009">
        <f t="shared" si="3"/>
        <v>1465.4619999999998</v>
      </c>
      <c r="F138" s="997">
        <f t="shared" si="5"/>
        <v>1299.0899999999999</v>
      </c>
      <c r="G138" s="438">
        <f>63.932+70+9.83</f>
        <v>143.76200000000003</v>
      </c>
      <c r="H138" s="457">
        <v>62.518999999999998</v>
      </c>
      <c r="I138" s="438">
        <f>1234.6+72+15.1</f>
        <v>1321.6999999999998</v>
      </c>
      <c r="J138" s="457">
        <f>1150.7-0.2+70.971+15.1</f>
        <v>1236.5709999999999</v>
      </c>
      <c r="K138" s="436"/>
      <c r="L138" s="435"/>
      <c r="M138" s="436"/>
      <c r="N138" s="446"/>
      <c r="O138" s="447"/>
      <c r="P138" s="448"/>
    </row>
    <row r="139" spans="3:16" ht="13.8" thickBot="1" x14ac:dyDescent="0.3">
      <c r="C139" s="282">
        <f t="shared" si="4"/>
        <v>123</v>
      </c>
      <c r="D139" s="318" t="s">
        <v>3</v>
      </c>
      <c r="E139" s="272">
        <f t="shared" si="3"/>
        <v>795.73099999999999</v>
      </c>
      <c r="F139" s="997">
        <f t="shared" si="5"/>
        <v>641.43500000000006</v>
      </c>
      <c r="G139" s="438">
        <v>734.93100000000004</v>
      </c>
      <c r="H139" s="457">
        <v>633.70100000000002</v>
      </c>
      <c r="I139" s="438"/>
      <c r="J139" s="457"/>
      <c r="K139" s="436"/>
      <c r="L139" s="435"/>
      <c r="M139" s="436">
        <f>45.8+15</f>
        <v>60.8</v>
      </c>
      <c r="N139" s="446">
        <v>7.734</v>
      </c>
      <c r="O139" s="447"/>
      <c r="P139" s="448"/>
    </row>
    <row r="140" spans="3:16" ht="13.8" thickBot="1" x14ac:dyDescent="0.3">
      <c r="C140" s="282">
        <f t="shared" si="4"/>
        <v>124</v>
      </c>
      <c r="D140" s="318" t="s">
        <v>4</v>
      </c>
      <c r="E140" s="272">
        <f t="shared" si="3"/>
        <v>888.30100000000004</v>
      </c>
      <c r="F140" s="997">
        <f t="shared" si="5"/>
        <v>648.16599999999994</v>
      </c>
      <c r="G140" s="438">
        <v>828.30100000000004</v>
      </c>
      <c r="H140" s="457">
        <f>632.51+10.656</f>
        <v>643.16599999999994</v>
      </c>
      <c r="I140" s="438"/>
      <c r="J140" s="457"/>
      <c r="K140" s="436"/>
      <c r="L140" s="435"/>
      <c r="M140" s="436">
        <f>55+5</f>
        <v>60</v>
      </c>
      <c r="N140" s="446">
        <v>5</v>
      </c>
      <c r="O140" s="447"/>
      <c r="P140" s="448"/>
    </row>
    <row r="141" spans="3:16" ht="13.8" thickBot="1" x14ac:dyDescent="0.3">
      <c r="C141" s="282">
        <f t="shared" si="4"/>
        <v>125</v>
      </c>
      <c r="D141" s="288" t="s">
        <v>278</v>
      </c>
      <c r="E141" s="272">
        <f t="shared" si="3"/>
        <v>1161.3230000000001</v>
      </c>
      <c r="F141" s="997">
        <f t="shared" si="5"/>
        <v>958.61899999999991</v>
      </c>
      <c r="G141" s="438">
        <v>1123.9590000000001</v>
      </c>
      <c r="H141" s="457">
        <f>967.319-8.7</f>
        <v>958.61899999999991</v>
      </c>
      <c r="I141" s="438">
        <v>33.564</v>
      </c>
      <c r="J141" s="457"/>
      <c r="K141" s="436"/>
      <c r="L141" s="435"/>
      <c r="M141" s="436">
        <v>3.8</v>
      </c>
      <c r="N141" s="446"/>
      <c r="O141" s="447"/>
      <c r="P141" s="448"/>
    </row>
    <row r="142" spans="3:16" ht="13.8" thickBot="1" x14ac:dyDescent="0.3">
      <c r="C142" s="282">
        <f t="shared" si="4"/>
        <v>126</v>
      </c>
      <c r="D142" s="318" t="s">
        <v>87</v>
      </c>
      <c r="E142" s="272">
        <f t="shared" si="3"/>
        <v>673.94399999999996</v>
      </c>
      <c r="F142" s="997">
        <f t="shared" si="5"/>
        <v>474.74700000000001</v>
      </c>
      <c r="G142" s="438">
        <f>689.472-40+3.472</f>
        <v>652.94399999999996</v>
      </c>
      <c r="H142" s="457">
        <f>466.107-1.5+6</f>
        <v>470.60700000000003</v>
      </c>
      <c r="I142" s="438"/>
      <c r="J142" s="457"/>
      <c r="K142" s="436"/>
      <c r="L142" s="435"/>
      <c r="M142" s="436">
        <v>21</v>
      </c>
      <c r="N142" s="446">
        <v>4.1399999999999997</v>
      </c>
      <c r="O142" s="447"/>
      <c r="P142" s="448"/>
    </row>
    <row r="143" spans="3:16" ht="13.8" thickBot="1" x14ac:dyDescent="0.3">
      <c r="C143" s="282">
        <f t="shared" si="4"/>
        <v>127</v>
      </c>
      <c r="D143" s="284" t="s">
        <v>27</v>
      </c>
      <c r="E143" s="1009">
        <f t="shared" si="3"/>
        <v>1344.0030300000001</v>
      </c>
      <c r="F143" s="997">
        <f t="shared" si="5"/>
        <v>1089.7718400000001</v>
      </c>
      <c r="G143" s="438">
        <v>994.84402999999998</v>
      </c>
      <c r="H143" s="457">
        <f>845.996+4</f>
        <v>849.99599999999998</v>
      </c>
      <c r="I143" s="1002">
        <v>104.563</v>
      </c>
      <c r="J143" s="1003">
        <v>59.662999999999997</v>
      </c>
      <c r="K143" s="436"/>
      <c r="L143" s="435"/>
      <c r="M143" s="436">
        <f>160+10</f>
        <v>170</v>
      </c>
      <c r="N143" s="446">
        <f>99.556+4+6</f>
        <v>109.556</v>
      </c>
      <c r="O143" s="447">
        <v>74.596000000000004</v>
      </c>
      <c r="P143" s="448">
        <v>70.556839999999994</v>
      </c>
    </row>
    <row r="144" spans="3:16" ht="13.8" thickBot="1" x14ac:dyDescent="0.3">
      <c r="C144" s="282">
        <f t="shared" si="4"/>
        <v>128</v>
      </c>
      <c r="D144" s="295" t="s">
        <v>6</v>
      </c>
      <c r="E144" s="1009">
        <f t="shared" si="3"/>
        <v>672.32314999999994</v>
      </c>
      <c r="F144" s="997">
        <f t="shared" si="5"/>
        <v>430.41038000000003</v>
      </c>
      <c r="G144" s="438">
        <f>24.378+0.9</f>
        <v>25.277999999999999</v>
      </c>
      <c r="H144" s="457">
        <f>19.771+0.8</f>
        <v>20.571000000000002</v>
      </c>
      <c r="I144" s="438">
        <v>287.89999999999998</v>
      </c>
      <c r="J144" s="457">
        <f>185.21-5.29307</f>
        <v>179.91693000000001</v>
      </c>
      <c r="K144" s="436"/>
      <c r="L144" s="435"/>
      <c r="M144" s="436">
        <f>336.4+4.17515+3.32485</f>
        <v>343.9</v>
      </c>
      <c r="N144" s="465">
        <f>213.603+10.9068+4.17515</f>
        <v>228.68495000000001</v>
      </c>
      <c r="O144" s="447">
        <v>15.245150000000001</v>
      </c>
      <c r="P144" s="448">
        <v>1.2375</v>
      </c>
    </row>
    <row r="145" spans="3:16" ht="13.8" thickBot="1" x14ac:dyDescent="0.3">
      <c r="C145" s="282">
        <f t="shared" si="4"/>
        <v>129</v>
      </c>
      <c r="D145" s="295" t="s">
        <v>224</v>
      </c>
      <c r="E145" s="272">
        <f t="shared" si="3"/>
        <v>644.33500000000004</v>
      </c>
      <c r="F145" s="997">
        <f t="shared" si="5"/>
        <v>287.98199999999997</v>
      </c>
      <c r="G145" s="438">
        <v>344.33499999999998</v>
      </c>
      <c r="H145" s="457">
        <v>247.982</v>
      </c>
      <c r="I145" s="438"/>
      <c r="J145" s="457"/>
      <c r="K145" s="436"/>
      <c r="L145" s="435"/>
      <c r="M145" s="436">
        <f>200+100</f>
        <v>300</v>
      </c>
      <c r="N145" s="446">
        <f>10+30</f>
        <v>40</v>
      </c>
      <c r="O145" s="447"/>
      <c r="P145" s="448"/>
    </row>
    <row r="146" spans="3:16" ht="13.8" thickBot="1" x14ac:dyDescent="0.3">
      <c r="C146" s="282">
        <f t="shared" si="4"/>
        <v>130</v>
      </c>
      <c r="D146" s="295" t="s">
        <v>250</v>
      </c>
      <c r="E146" s="1009">
        <f t="shared" ref="E146:E190" si="7">G146+I146+K146+M146+O146</f>
        <v>1965.6779099999999</v>
      </c>
      <c r="F146" s="997">
        <f t="shared" ref="F146:F190" si="8">H146+J146+L146+N146+P146</f>
        <v>1582.12084</v>
      </c>
      <c r="G146" s="998">
        <f>1205.873-33</f>
        <v>1172.873</v>
      </c>
      <c r="H146" s="457">
        <v>1001.199</v>
      </c>
      <c r="I146" s="438">
        <f>711.996-88+40+5.505+3.796</f>
        <v>673.29700000000003</v>
      </c>
      <c r="J146" s="457">
        <v>555.61216000000002</v>
      </c>
      <c r="K146" s="436"/>
      <c r="L146" s="435"/>
      <c r="M146" s="436">
        <f>58.745+34</f>
        <v>92.745000000000005</v>
      </c>
      <c r="N146" s="446"/>
      <c r="O146" s="447">
        <v>26.762910000000002</v>
      </c>
      <c r="P146" s="448">
        <v>25.30968</v>
      </c>
    </row>
    <row r="147" spans="3:16" ht="13.8" thickBot="1" x14ac:dyDescent="0.3">
      <c r="C147" s="282">
        <f t="shared" si="4"/>
        <v>131</v>
      </c>
      <c r="D147" s="324" t="s">
        <v>534</v>
      </c>
      <c r="E147" s="272">
        <f t="shared" si="7"/>
        <v>67.900000000000006</v>
      </c>
      <c r="F147" s="997">
        <f t="shared" si="8"/>
        <v>32.5</v>
      </c>
      <c r="G147" s="999">
        <v>67.900000000000006</v>
      </c>
      <c r="H147" s="463">
        <v>32.5</v>
      </c>
      <c r="I147" s="999"/>
      <c r="J147" s="463"/>
      <c r="K147" s="466"/>
      <c r="L147" s="440"/>
      <c r="M147" s="466"/>
      <c r="N147" s="439"/>
      <c r="O147" s="467"/>
      <c r="P147" s="468"/>
    </row>
    <row r="148" spans="3:16" ht="13.8" thickBot="1" x14ac:dyDescent="0.3">
      <c r="C148" s="282">
        <f t="shared" ref="C148:C191" si="9">C147+1</f>
        <v>132</v>
      </c>
      <c r="D148" s="318" t="s">
        <v>7</v>
      </c>
      <c r="E148" s="1008">
        <f t="shared" si="7"/>
        <v>136.61699999999999</v>
      </c>
      <c r="F148" s="273"/>
      <c r="G148" s="438">
        <f>126.329-6</f>
        <v>120.32899999999999</v>
      </c>
      <c r="H148" s="435"/>
      <c r="I148" s="438">
        <f>20.684-3.92-1.176</f>
        <v>15.588000000000003</v>
      </c>
      <c r="J148" s="457"/>
      <c r="K148" s="436"/>
      <c r="L148" s="435"/>
      <c r="M148" s="436">
        <v>0.7</v>
      </c>
      <c r="N148" s="446"/>
      <c r="O148" s="447"/>
      <c r="P148" s="448"/>
    </row>
    <row r="149" spans="3:16" ht="13.8" thickBot="1" x14ac:dyDescent="0.3">
      <c r="C149" s="282">
        <f t="shared" si="9"/>
        <v>133</v>
      </c>
      <c r="D149" s="318" t="s">
        <v>8</v>
      </c>
      <c r="E149" s="1008">
        <f t="shared" si="7"/>
        <v>105.66399999999999</v>
      </c>
      <c r="F149" s="273"/>
      <c r="G149" s="438">
        <f>59.294+0.93+30.464</f>
        <v>90.687999999999988</v>
      </c>
      <c r="H149" s="435"/>
      <c r="I149" s="438">
        <f>15.396-3.92</f>
        <v>11.476000000000001</v>
      </c>
      <c r="J149" s="457"/>
      <c r="K149" s="436"/>
      <c r="L149" s="435"/>
      <c r="M149" s="436">
        <v>3.5</v>
      </c>
      <c r="N149" s="446"/>
      <c r="O149" s="447"/>
      <c r="P149" s="448"/>
    </row>
    <row r="150" spans="3:16" ht="13.8" thickBot="1" x14ac:dyDescent="0.3">
      <c r="C150" s="282">
        <f t="shared" si="9"/>
        <v>134</v>
      </c>
      <c r="D150" s="318" t="s">
        <v>9</v>
      </c>
      <c r="E150" s="1008">
        <f t="shared" si="7"/>
        <v>114.372</v>
      </c>
      <c r="F150" s="273"/>
      <c r="G150" s="438">
        <f>91.514+1.11</f>
        <v>92.623999999999995</v>
      </c>
      <c r="H150" s="435"/>
      <c r="I150" s="438">
        <v>17.748000000000001</v>
      </c>
      <c r="J150" s="457"/>
      <c r="K150" s="436"/>
      <c r="L150" s="435"/>
      <c r="M150" s="436">
        <v>4</v>
      </c>
      <c r="N150" s="446"/>
      <c r="O150" s="447"/>
      <c r="P150" s="448"/>
    </row>
    <row r="151" spans="3:16" ht="13.8" thickBot="1" x14ac:dyDescent="0.3">
      <c r="C151" s="282">
        <f t="shared" si="9"/>
        <v>135</v>
      </c>
      <c r="D151" s="318" t="s">
        <v>10</v>
      </c>
      <c r="E151" s="1008">
        <f t="shared" si="7"/>
        <v>25.157</v>
      </c>
      <c r="F151" s="273"/>
      <c r="G151" s="438">
        <f>21.129+0.5</f>
        <v>21.629000000000001</v>
      </c>
      <c r="H151" s="435"/>
      <c r="I151" s="438">
        <f>6.664-3.136</f>
        <v>3.5279999999999996</v>
      </c>
      <c r="J151" s="457"/>
      <c r="K151" s="436"/>
      <c r="L151" s="435"/>
      <c r="M151" s="436"/>
      <c r="N151" s="446"/>
      <c r="O151" s="447"/>
      <c r="P151" s="448"/>
    </row>
    <row r="152" spans="3:16" ht="12" customHeight="1" thickBot="1" x14ac:dyDescent="0.3">
      <c r="C152" s="282">
        <f t="shared" si="9"/>
        <v>136</v>
      </c>
      <c r="D152" s="318" t="s">
        <v>11</v>
      </c>
      <c r="E152" s="1008">
        <f t="shared" si="7"/>
        <v>63.585999999999999</v>
      </c>
      <c r="F152" s="273"/>
      <c r="G152" s="438">
        <f>64.674+0.6-15</f>
        <v>50.274000000000001</v>
      </c>
      <c r="H152" s="435"/>
      <c r="I152" s="438">
        <f>9.408+0.784</f>
        <v>10.192</v>
      </c>
      <c r="J152" s="435"/>
      <c r="K152" s="436"/>
      <c r="L152" s="435"/>
      <c r="M152" s="436">
        <v>3.12</v>
      </c>
      <c r="N152" s="446"/>
      <c r="O152" s="447"/>
      <c r="P152" s="448"/>
    </row>
    <row r="153" spans="3:16" ht="13.8" thickBot="1" x14ac:dyDescent="0.3">
      <c r="C153" s="282">
        <f t="shared" si="9"/>
        <v>137</v>
      </c>
      <c r="D153" s="288" t="s">
        <v>12</v>
      </c>
      <c r="E153" s="1008">
        <f t="shared" si="7"/>
        <v>134.54900000000001</v>
      </c>
      <c r="F153" s="273"/>
      <c r="G153" s="438">
        <f>111.733+1.14+0.7</f>
        <v>113.57300000000001</v>
      </c>
      <c r="H153" s="435"/>
      <c r="I153" s="438">
        <f>27.832-6.28-1.176</f>
        <v>20.376000000000001</v>
      </c>
      <c r="J153" s="435"/>
      <c r="K153" s="436"/>
      <c r="L153" s="435"/>
      <c r="M153" s="436">
        <v>0.6</v>
      </c>
      <c r="N153" s="446"/>
      <c r="O153" s="469"/>
      <c r="P153" s="470"/>
    </row>
    <row r="154" spans="3:16" ht="13.8" thickBot="1" x14ac:dyDescent="0.3">
      <c r="C154" s="282">
        <f t="shared" si="9"/>
        <v>138</v>
      </c>
      <c r="D154" s="318" t="s">
        <v>90</v>
      </c>
      <c r="E154" s="1008">
        <f t="shared" si="7"/>
        <v>168.21199999999999</v>
      </c>
      <c r="F154" s="273"/>
      <c r="G154" s="438">
        <f>129.634+15+1.41</f>
        <v>146.04399999999998</v>
      </c>
      <c r="H154" s="435"/>
      <c r="I154" s="438">
        <f>22.452-0.784</f>
        <v>21.668000000000003</v>
      </c>
      <c r="J154" s="435"/>
      <c r="K154" s="436"/>
      <c r="L154" s="435"/>
      <c r="M154" s="436">
        <v>0.5</v>
      </c>
      <c r="N154" s="446"/>
      <c r="O154" s="447"/>
      <c r="P154" s="448"/>
    </row>
    <row r="155" spans="3:16" ht="13.8" thickBot="1" x14ac:dyDescent="0.3">
      <c r="C155" s="282">
        <f t="shared" si="9"/>
        <v>139</v>
      </c>
      <c r="D155" s="318" t="s">
        <v>14</v>
      </c>
      <c r="E155" s="1008">
        <f t="shared" si="7"/>
        <v>33.803000000000004</v>
      </c>
      <c r="F155" s="273"/>
      <c r="G155" s="438">
        <v>23.059000000000001</v>
      </c>
      <c r="H155" s="435"/>
      <c r="I155" s="438">
        <f>10.976-0.784</f>
        <v>10.192</v>
      </c>
      <c r="J155" s="435"/>
      <c r="K155" s="436"/>
      <c r="L155" s="435"/>
      <c r="M155" s="436">
        <v>0.55200000000000005</v>
      </c>
      <c r="N155" s="446"/>
      <c r="O155" s="447"/>
      <c r="P155" s="448"/>
    </row>
    <row r="156" spans="3:16" ht="13.8" thickBot="1" x14ac:dyDescent="0.3">
      <c r="C156" s="282">
        <f t="shared" si="9"/>
        <v>140</v>
      </c>
      <c r="D156" s="318" t="s">
        <v>28</v>
      </c>
      <c r="E156" s="1008">
        <f t="shared" si="7"/>
        <v>106.85799999999999</v>
      </c>
      <c r="F156" s="273"/>
      <c r="G156" s="438">
        <f>76.25+1.58-6</f>
        <v>71.83</v>
      </c>
      <c r="H156" s="435"/>
      <c r="I156" s="438">
        <f>31.86+2.868</f>
        <v>34.728000000000002</v>
      </c>
      <c r="J156" s="435"/>
      <c r="K156" s="436"/>
      <c r="L156" s="435"/>
      <c r="M156" s="436">
        <v>0.3</v>
      </c>
      <c r="N156" s="446"/>
      <c r="O156" s="447"/>
      <c r="P156" s="448"/>
    </row>
    <row r="157" spans="3:16" ht="13.5" customHeight="1" thickBot="1" x14ac:dyDescent="0.3">
      <c r="C157" s="282">
        <f t="shared" si="9"/>
        <v>141</v>
      </c>
      <c r="D157" s="288" t="s">
        <v>16</v>
      </c>
      <c r="E157" s="1008">
        <f t="shared" si="7"/>
        <v>626.51199999999994</v>
      </c>
      <c r="F157" s="273"/>
      <c r="G157" s="1000">
        <v>544.34</v>
      </c>
      <c r="H157" s="472"/>
      <c r="I157" s="1000">
        <f>94.58-14.376</f>
        <v>80.203999999999994</v>
      </c>
      <c r="J157" s="472"/>
      <c r="K157" s="471"/>
      <c r="L157" s="472"/>
      <c r="M157" s="471">
        <v>1.968</v>
      </c>
      <c r="N157" s="473"/>
      <c r="O157" s="474"/>
      <c r="P157" s="475"/>
    </row>
    <row r="158" spans="3:16" ht="13.5" customHeight="1" thickBot="1" x14ac:dyDescent="0.3">
      <c r="C158" s="282">
        <f t="shared" si="9"/>
        <v>142</v>
      </c>
      <c r="D158" s="289" t="s">
        <v>582</v>
      </c>
      <c r="E158" s="272">
        <f t="shared" si="7"/>
        <v>37024.94111</v>
      </c>
      <c r="F158" s="273">
        <f t="shared" si="8"/>
        <v>12660.64971</v>
      </c>
      <c r="G158" s="478">
        <f>G17+G19+G28+G29+G57+G66+G76+G81+G96+G101+G107+G128+SUM(G138:G157)</f>
        <v>21616.301189999998</v>
      </c>
      <c r="H158" s="479">
        <f>SUM(H138:H157)+H128+H107+H101+H96+H81+H66+H57+H29+H28+H19+H17</f>
        <v>9515.9210199999998</v>
      </c>
      <c r="I158" s="480">
        <f>I17+I19+I28+I29+I57+I66+I76+I81+I96+I101+I107+I128+SUM(I138:I157)</f>
        <v>13127.74676</v>
      </c>
      <c r="J158" s="481">
        <f>J17+J19+J28+J29+J57+J66+J76+J81+J96+J101+J107+J128+SUM(J138:J157)</f>
        <v>2649.2509</v>
      </c>
      <c r="K158" s="478">
        <f t="shared" ref="K158:P158" si="10">K17+K19+K28+K29+K57+K66+K76+K81+K96+K101+K107+K128+SUM(K138:K157)</f>
        <v>0</v>
      </c>
      <c r="L158" s="477">
        <f t="shared" si="10"/>
        <v>0</v>
      </c>
      <c r="M158" s="478">
        <f t="shared" si="10"/>
        <v>1103.4849999999997</v>
      </c>
      <c r="N158" s="482">
        <f t="shared" si="10"/>
        <v>395.11495000000002</v>
      </c>
      <c r="O158" s="478">
        <f t="shared" si="10"/>
        <v>1177.40816</v>
      </c>
      <c r="P158" s="477">
        <f t="shared" si="10"/>
        <v>100.36283999999999</v>
      </c>
    </row>
    <row r="159" spans="3:16" ht="13.8" thickBot="1" x14ac:dyDescent="0.3">
      <c r="C159" s="282">
        <f t="shared" si="9"/>
        <v>143</v>
      </c>
      <c r="D159" s="286" t="s">
        <v>267</v>
      </c>
      <c r="E159" s="272">
        <f t="shared" si="7"/>
        <v>703.62200000000007</v>
      </c>
      <c r="F159" s="273">
        <f t="shared" si="8"/>
        <v>592.851</v>
      </c>
      <c r="G159" s="483">
        <f>422.711+12.669+2</f>
        <v>437.38</v>
      </c>
      <c r="H159" s="1004">
        <f>369.115+12.488-1-6.45</f>
        <v>374.15300000000002</v>
      </c>
      <c r="I159" s="483">
        <f>2.816+6.628+0.712</f>
        <v>10.155999999999999</v>
      </c>
      <c r="J159" s="1004">
        <f>0.41+3.844+0.11</f>
        <v>4.3639999999999999</v>
      </c>
      <c r="K159" s="483">
        <f>213.352+9.234</f>
        <v>222.58600000000001</v>
      </c>
      <c r="L159" s="484">
        <f>205.286+9.048</f>
        <v>214.334</v>
      </c>
      <c r="M159" s="483">
        <f>29+4.5</f>
        <v>33.5</v>
      </c>
      <c r="N159" s="485"/>
      <c r="O159" s="486"/>
      <c r="P159" s="487"/>
    </row>
    <row r="160" spans="3:16" ht="13.8" thickBot="1" x14ac:dyDescent="0.3">
      <c r="C160" s="282">
        <f t="shared" si="9"/>
        <v>144</v>
      </c>
      <c r="D160" s="318" t="s">
        <v>268</v>
      </c>
      <c r="E160" s="272">
        <f t="shared" si="7"/>
        <v>1137.6000000000001</v>
      </c>
      <c r="F160" s="273">
        <f t="shared" si="8"/>
        <v>955.81100000000004</v>
      </c>
      <c r="G160" s="436">
        <f>599.533+41.123+13.544+6.932</f>
        <v>661.13200000000006</v>
      </c>
      <c r="H160" s="1001">
        <f>507.668+40.535+13.35-1.3</f>
        <v>560.25300000000004</v>
      </c>
      <c r="I160" s="436">
        <f>3.056+3.534+0.979</f>
        <v>7.569</v>
      </c>
      <c r="J160" s="1001">
        <f>0.942+2.05+0.152</f>
        <v>3.1440000000000001</v>
      </c>
      <c r="K160" s="436">
        <f>399.195+7.676</f>
        <v>406.87099999999998</v>
      </c>
      <c r="L160" s="435">
        <f>385.022+7.392</f>
        <v>392.41399999999999</v>
      </c>
      <c r="M160" s="436">
        <f>55.028+7</f>
        <v>62.027999999999999</v>
      </c>
      <c r="N160" s="446"/>
      <c r="O160" s="447"/>
      <c r="P160" s="448"/>
    </row>
    <row r="161" spans="3:16" ht="13.8" thickBot="1" x14ac:dyDescent="0.3">
      <c r="C161" s="282">
        <f t="shared" si="9"/>
        <v>145</v>
      </c>
      <c r="D161" s="318" t="s">
        <v>269</v>
      </c>
      <c r="E161" s="272">
        <f t="shared" si="7"/>
        <v>503.58200000000005</v>
      </c>
      <c r="F161" s="273">
        <f t="shared" si="8"/>
        <v>410.07499999999999</v>
      </c>
      <c r="G161" s="436">
        <f>307.492+0.639-5</f>
        <v>303.13100000000003</v>
      </c>
      <c r="H161" s="1001">
        <f>236.781+0.63-0.5</f>
        <v>236.911</v>
      </c>
      <c r="I161" s="436">
        <f>7.774+3.535+0.089</f>
        <v>11.398000000000001</v>
      </c>
      <c r="J161" s="1001">
        <f>4.202+2.02+0.013</f>
        <v>6.2349999999999994</v>
      </c>
      <c r="K161" s="436">
        <f>167.816+4.717</f>
        <v>172.53300000000002</v>
      </c>
      <c r="L161" s="435">
        <f>162.307+4.622</f>
        <v>166.92899999999997</v>
      </c>
      <c r="M161" s="436">
        <f>15.52+1</f>
        <v>16.52</v>
      </c>
      <c r="N161" s="446"/>
      <c r="O161" s="447"/>
      <c r="P161" s="448"/>
    </row>
    <row r="162" spans="3:16" ht="12" customHeight="1" thickBot="1" x14ac:dyDescent="0.3">
      <c r="C162" s="282">
        <f t="shared" si="9"/>
        <v>146</v>
      </c>
      <c r="D162" s="318" t="s">
        <v>270</v>
      </c>
      <c r="E162" s="272">
        <f t="shared" si="7"/>
        <v>864.54632000000004</v>
      </c>
      <c r="F162" s="273">
        <f t="shared" si="8"/>
        <v>710.87999999999988</v>
      </c>
      <c r="G162" s="436">
        <f>455.21-12.394+15-5</f>
        <v>452.81599999999997</v>
      </c>
      <c r="H162" s="1001">
        <f>385.652-12.217-1.05-10</f>
        <v>362.38499999999999</v>
      </c>
      <c r="I162" s="436">
        <f>0.704+0.356</f>
        <v>1.06</v>
      </c>
      <c r="J162" s="1001">
        <f>0.102+0.055</f>
        <v>0.157</v>
      </c>
      <c r="K162" s="436">
        <f>345.285+15.904</f>
        <v>361.18900000000002</v>
      </c>
      <c r="L162" s="435">
        <f>332.381+15.957</f>
        <v>348.33799999999997</v>
      </c>
      <c r="M162" s="436">
        <v>48</v>
      </c>
      <c r="N162" s="446"/>
      <c r="O162" s="447">
        <v>1.48132</v>
      </c>
      <c r="P162" s="448"/>
    </row>
    <row r="163" spans="3:16" ht="13.8" thickBot="1" x14ac:dyDescent="0.3">
      <c r="C163" s="282">
        <f t="shared" si="9"/>
        <v>147</v>
      </c>
      <c r="D163" s="325" t="s">
        <v>271</v>
      </c>
      <c r="E163" s="272">
        <f t="shared" si="7"/>
        <v>429.82400000000001</v>
      </c>
      <c r="F163" s="273">
        <f t="shared" si="8"/>
        <v>356.48299999999995</v>
      </c>
      <c r="G163" s="436">
        <v>217.37100000000001</v>
      </c>
      <c r="H163" s="1001">
        <f>163.196-0.8</f>
        <v>162.39599999999999</v>
      </c>
      <c r="I163" s="436"/>
      <c r="J163" s="1001"/>
      <c r="K163" s="436">
        <f>203.296-4.043</f>
        <v>199.25299999999999</v>
      </c>
      <c r="L163" s="435">
        <f>198.045-3.958</f>
        <v>194.08699999999999</v>
      </c>
      <c r="M163" s="436">
        <v>13.2</v>
      </c>
      <c r="N163" s="446"/>
      <c r="O163" s="447"/>
      <c r="P163" s="448"/>
    </row>
    <row r="164" spans="3:16" ht="13.8" thickBot="1" x14ac:dyDescent="0.3">
      <c r="C164" s="282">
        <f t="shared" si="9"/>
        <v>148</v>
      </c>
      <c r="D164" s="318" t="s">
        <v>272</v>
      </c>
      <c r="E164" s="1009">
        <f t="shared" si="7"/>
        <v>1125.92992</v>
      </c>
      <c r="F164" s="997">
        <f t="shared" si="8"/>
        <v>945.20466999999996</v>
      </c>
      <c r="G164" s="436">
        <f>661.687-1.635-19-18.9</f>
        <v>622.15200000000004</v>
      </c>
      <c r="H164" s="1001">
        <f>564.966-1.612-19-14.88917</f>
        <v>529.46483000000001</v>
      </c>
      <c r="I164" s="436"/>
      <c r="J164" s="1001"/>
      <c r="K164" s="436">
        <f>423.622+2.997</f>
        <v>426.61900000000003</v>
      </c>
      <c r="L164" s="435">
        <f>410.417+3.036</f>
        <v>413.45299999999997</v>
      </c>
      <c r="M164" s="436">
        <v>63.6</v>
      </c>
      <c r="N164" s="446"/>
      <c r="O164" s="447">
        <v>13.558920000000001</v>
      </c>
      <c r="P164" s="448">
        <v>2.2868400000000002</v>
      </c>
    </row>
    <row r="165" spans="3:16" ht="13.8" thickBot="1" x14ac:dyDescent="0.3">
      <c r="C165" s="282">
        <f t="shared" si="9"/>
        <v>149</v>
      </c>
      <c r="D165" s="318" t="s">
        <v>18</v>
      </c>
      <c r="E165" s="1009">
        <f t="shared" si="7"/>
        <v>1265.3561399999999</v>
      </c>
      <c r="F165" s="273">
        <f t="shared" si="8"/>
        <v>1103.646</v>
      </c>
      <c r="G165" s="436">
        <f>322.269-0.978+0.5+9.5</f>
        <v>331.291</v>
      </c>
      <c r="H165" s="1001">
        <f>251.923-0.964-0.5</f>
        <v>250.459</v>
      </c>
      <c r="I165" s="436"/>
      <c r="J165" s="1001"/>
      <c r="K165" s="436">
        <f>865.056+0.724+19.37</f>
        <v>885.15000000000009</v>
      </c>
      <c r="L165" s="435">
        <f>834.079+0.714+19.394-1</f>
        <v>853.18700000000001</v>
      </c>
      <c r="M165" s="436">
        <f>15.3+6.1+2.2</f>
        <v>23.599999999999998</v>
      </c>
      <c r="N165" s="446"/>
      <c r="O165" s="447">
        <v>25.31514</v>
      </c>
      <c r="P165" s="448"/>
    </row>
    <row r="166" spans="3:16" ht="24" customHeight="1" thickBot="1" x14ac:dyDescent="0.3">
      <c r="C166" s="282">
        <f t="shared" si="9"/>
        <v>150</v>
      </c>
      <c r="D166" s="241" t="s">
        <v>600</v>
      </c>
      <c r="E166" s="272">
        <f t="shared" si="7"/>
        <v>164.94800000000001</v>
      </c>
      <c r="F166" s="273">
        <f t="shared" si="8"/>
        <v>147.774</v>
      </c>
      <c r="G166" s="436">
        <f>67.627+0.462+0.643-6.2</f>
        <v>62.531999999999996</v>
      </c>
      <c r="H166" s="1001">
        <f>62.917+0.455-6.2</f>
        <v>57.171999999999997</v>
      </c>
      <c r="I166" s="436">
        <v>1.7669999999999999</v>
      </c>
      <c r="J166" s="1001">
        <v>1.0249999999999999</v>
      </c>
      <c r="K166" s="436">
        <f>88.461+3.788</f>
        <v>92.248999999999995</v>
      </c>
      <c r="L166" s="435">
        <f>85.911+3.666</f>
        <v>89.576999999999998</v>
      </c>
      <c r="M166" s="436">
        <f>5.4+3</f>
        <v>8.4</v>
      </c>
      <c r="N166" s="446"/>
      <c r="O166" s="447"/>
      <c r="P166" s="448"/>
    </row>
    <row r="167" spans="3:16" ht="14.25" customHeight="1" thickBot="1" x14ac:dyDescent="0.3">
      <c r="C167" s="282">
        <f t="shared" si="9"/>
        <v>151</v>
      </c>
      <c r="D167" s="318" t="s">
        <v>277</v>
      </c>
      <c r="E167" s="1009">
        <f t="shared" si="7"/>
        <v>2430.1123200000002</v>
      </c>
      <c r="F167" s="273">
        <f t="shared" si="8"/>
        <v>2013.2977100000001</v>
      </c>
      <c r="G167" s="436">
        <f>833.715+5.647+35+32.64</f>
        <v>907.00200000000007</v>
      </c>
      <c r="H167" s="1001">
        <f>644.681-0.2+5.566-0.52</f>
        <v>649.52700000000004</v>
      </c>
      <c r="I167" s="436"/>
      <c r="J167" s="1001"/>
      <c r="K167" s="436">
        <f>1389.824+3.601+16.912</f>
        <v>1410.3370000000002</v>
      </c>
      <c r="L167" s="435">
        <f>1344.191+3.55+16.537-0.50729</f>
        <v>1363.77071</v>
      </c>
      <c r="M167" s="436">
        <f>74+5</f>
        <v>79</v>
      </c>
      <c r="N167" s="446"/>
      <c r="O167" s="447">
        <v>33.773319999999998</v>
      </c>
      <c r="P167" s="448"/>
    </row>
    <row r="168" spans="3:16" ht="27" thickBot="1" x14ac:dyDescent="0.3">
      <c r="C168" s="282">
        <f t="shared" si="9"/>
        <v>152</v>
      </c>
      <c r="D168" s="295" t="s">
        <v>458</v>
      </c>
      <c r="E168" s="272">
        <f t="shared" si="7"/>
        <v>271.06799999999998</v>
      </c>
      <c r="F168" s="273">
        <f t="shared" si="8"/>
        <v>257.42606000000001</v>
      </c>
      <c r="G168" s="436">
        <v>14.182</v>
      </c>
      <c r="H168" s="1001">
        <v>13.978999999999999</v>
      </c>
      <c r="I168" s="436"/>
      <c r="J168" s="1001"/>
      <c r="K168" s="436">
        <f>262.171-5.285</f>
        <v>256.88599999999997</v>
      </c>
      <c r="L168" s="435">
        <f>253.721-4.8-5.344-0.12994</f>
        <v>243.44705999999999</v>
      </c>
      <c r="M168" s="436"/>
      <c r="N168" s="446"/>
      <c r="O168" s="447"/>
      <c r="P168" s="448"/>
    </row>
    <row r="169" spans="3:16" ht="24" customHeight="1" thickBot="1" x14ac:dyDescent="0.3">
      <c r="C169" s="282">
        <f t="shared" si="9"/>
        <v>153</v>
      </c>
      <c r="D169" s="295" t="s">
        <v>459</v>
      </c>
      <c r="E169" s="272">
        <f t="shared" si="7"/>
        <v>16.149999999999999</v>
      </c>
      <c r="F169" s="273">
        <f t="shared" si="8"/>
        <v>14.45158</v>
      </c>
      <c r="G169" s="436"/>
      <c r="H169" s="435"/>
      <c r="I169" s="436">
        <v>0.8</v>
      </c>
      <c r="J169" s="1001"/>
      <c r="K169" s="436">
        <f>14.812+0.538</f>
        <v>15.35</v>
      </c>
      <c r="L169" s="435">
        <f>14.1+0.547-0.19542</f>
        <v>14.45158</v>
      </c>
      <c r="M169" s="436"/>
      <c r="N169" s="446"/>
      <c r="O169" s="447"/>
      <c r="P169" s="448"/>
    </row>
    <row r="170" spans="3:16" ht="13.8" thickBot="1" x14ac:dyDescent="0.3">
      <c r="C170" s="282">
        <f t="shared" si="9"/>
        <v>154</v>
      </c>
      <c r="D170" s="318" t="s">
        <v>98</v>
      </c>
      <c r="E170" s="1009">
        <f t="shared" si="7"/>
        <v>2090.2648999999997</v>
      </c>
      <c r="F170" s="273">
        <f t="shared" si="8"/>
        <v>1822.8910000000001</v>
      </c>
      <c r="G170" s="436">
        <f>605.136+2.582</f>
        <v>607.71799999999996</v>
      </c>
      <c r="H170" s="435">
        <f>449.067-1.2-0.395</f>
        <v>447.47200000000004</v>
      </c>
      <c r="I170" s="436">
        <f>11.16+0.676</f>
        <v>11.836</v>
      </c>
      <c r="J170" s="1001">
        <f>10.999+0.666</f>
        <v>11.665000000000001</v>
      </c>
      <c r="K170" s="436">
        <f>1405.815+1.329+14.042</f>
        <v>1421.1859999999999</v>
      </c>
      <c r="L170" s="435">
        <f>1353.099+1.31-5+14.345</f>
        <v>1363.7539999999999</v>
      </c>
      <c r="M170" s="436">
        <f>29+10+4</f>
        <v>43</v>
      </c>
      <c r="N170" s="446"/>
      <c r="O170" s="447">
        <v>6.5248999999999997</v>
      </c>
      <c r="P170" s="448"/>
    </row>
    <row r="171" spans="3:16" ht="13.8" thickBot="1" x14ac:dyDescent="0.3">
      <c r="C171" s="282">
        <f t="shared" si="9"/>
        <v>155</v>
      </c>
      <c r="D171" s="318" t="s">
        <v>20</v>
      </c>
      <c r="E171" s="1009">
        <f t="shared" si="7"/>
        <v>1231.1813699999998</v>
      </c>
      <c r="F171" s="273">
        <f t="shared" si="8"/>
        <v>1029.413</v>
      </c>
      <c r="G171" s="436">
        <f>481.311+3.114</f>
        <v>484.42499999999995</v>
      </c>
      <c r="H171" s="435">
        <f>341.051+3.069-0.5</f>
        <v>343.62</v>
      </c>
      <c r="I171" s="436">
        <v>2.48</v>
      </c>
      <c r="J171" s="1001">
        <v>2.444</v>
      </c>
      <c r="K171" s="436">
        <f>697.191+0.477+13.337</f>
        <v>711.005</v>
      </c>
      <c r="L171" s="435">
        <f>673.818+0.47-3.8+13.161-0.3</f>
        <v>683.34900000000005</v>
      </c>
      <c r="M171" s="436">
        <f>20+4+5</f>
        <v>29</v>
      </c>
      <c r="N171" s="446"/>
      <c r="O171" s="447">
        <v>4.2713700000000001</v>
      </c>
      <c r="P171" s="448"/>
    </row>
    <row r="172" spans="3:16" ht="13.8" thickBot="1" x14ac:dyDescent="0.3">
      <c r="C172" s="282">
        <f t="shared" si="9"/>
        <v>156</v>
      </c>
      <c r="D172" s="318" t="s">
        <v>99</v>
      </c>
      <c r="E172" s="272">
        <f t="shared" si="7"/>
        <v>79.069000000000003</v>
      </c>
      <c r="F172" s="273">
        <f t="shared" si="8"/>
        <v>69.042000000000016</v>
      </c>
      <c r="G172" s="436">
        <v>69.569000000000003</v>
      </c>
      <c r="H172" s="435">
        <f>67.742-0.6</f>
        <v>67.14200000000001</v>
      </c>
      <c r="I172" s="436"/>
      <c r="J172" s="1001"/>
      <c r="K172" s="436"/>
      <c r="L172" s="435"/>
      <c r="M172" s="436">
        <f>6+2.5+1</f>
        <v>9.5</v>
      </c>
      <c r="N172" s="446">
        <f>1.2+0.5+0.2</f>
        <v>1.9</v>
      </c>
      <c r="O172" s="447"/>
      <c r="P172" s="448"/>
    </row>
    <row r="173" spans="3:16" ht="13.8" thickBot="1" x14ac:dyDescent="0.3">
      <c r="C173" s="282">
        <f t="shared" si="9"/>
        <v>157</v>
      </c>
      <c r="D173" s="318" t="s">
        <v>279</v>
      </c>
      <c r="E173" s="1010">
        <f t="shared" si="7"/>
        <v>1270.1576799999998</v>
      </c>
      <c r="F173" s="273">
        <f t="shared" si="8"/>
        <v>1015.7386700000001</v>
      </c>
      <c r="G173" s="438">
        <f>544.027+30.01444-11.663+4.228+1.5-18.1</f>
        <v>550.00644</v>
      </c>
      <c r="H173" s="457">
        <f>350.897+6.855-5.04-11.496+4.168-0.135</f>
        <v>345.24900000000002</v>
      </c>
      <c r="I173" s="436">
        <v>1.24</v>
      </c>
      <c r="J173" s="1001">
        <v>1.222</v>
      </c>
      <c r="K173" s="438">
        <f>661.216+0.867+32.00283</f>
        <v>694.08582999999999</v>
      </c>
      <c r="L173" s="457">
        <f>638.709+0.855+30.77767-1.074</f>
        <v>669.26767000000007</v>
      </c>
      <c r="M173" s="436">
        <f>13.4+5.9</f>
        <v>19.3</v>
      </c>
      <c r="N173" s="446"/>
      <c r="O173" s="447">
        <v>5.5254099999999999</v>
      </c>
      <c r="P173" s="448"/>
    </row>
    <row r="174" spans="3:16" ht="13.8" thickBot="1" x14ac:dyDescent="0.3">
      <c r="C174" s="282">
        <f t="shared" si="9"/>
        <v>158</v>
      </c>
      <c r="D174" s="326" t="s">
        <v>581</v>
      </c>
      <c r="E174" s="272">
        <f t="shared" si="7"/>
        <v>371.34973000000002</v>
      </c>
      <c r="F174" s="273">
        <f t="shared" si="8"/>
        <v>280.30764999999997</v>
      </c>
      <c r="G174" s="438">
        <f>270.067-81.91444</f>
        <v>188.15255999999999</v>
      </c>
      <c r="H174" s="457">
        <f>181.329-42.54968-25.995</f>
        <v>112.78432000000001</v>
      </c>
      <c r="I174" s="436">
        <v>6.3719999999999999</v>
      </c>
      <c r="J174" s="1001"/>
      <c r="K174" s="438">
        <f>258.126-85.90083</f>
        <v>172.22516999999999</v>
      </c>
      <c r="L174" s="457">
        <f>251.285-83.76167</f>
        <v>167.52332999999999</v>
      </c>
      <c r="M174" s="436">
        <v>4.5999999999999996</v>
      </c>
      <c r="N174" s="446"/>
      <c r="O174" s="447"/>
      <c r="P174" s="448"/>
    </row>
    <row r="175" spans="3:16" ht="13.8" thickBot="1" x14ac:dyDescent="0.3">
      <c r="C175" s="282">
        <f t="shared" si="9"/>
        <v>159</v>
      </c>
      <c r="D175" s="290" t="s">
        <v>460</v>
      </c>
      <c r="E175" s="272">
        <f t="shared" si="7"/>
        <v>323.67900000000003</v>
      </c>
      <c r="F175" s="273">
        <f t="shared" si="8"/>
        <v>250.12700000000001</v>
      </c>
      <c r="G175" s="436">
        <f>208.436-3.511-4</f>
        <v>200.92500000000001</v>
      </c>
      <c r="H175" s="435">
        <f>147.32-3.461-0.314</f>
        <v>143.54499999999999</v>
      </c>
      <c r="I175" s="436"/>
      <c r="J175" s="435"/>
      <c r="K175" s="436">
        <f>116.709-6.655</f>
        <v>110.054</v>
      </c>
      <c r="L175" s="435">
        <f>113.114-6.532</f>
        <v>106.58200000000001</v>
      </c>
      <c r="M175" s="436">
        <v>12.7</v>
      </c>
      <c r="N175" s="446"/>
      <c r="O175" s="447"/>
      <c r="P175" s="448"/>
    </row>
    <row r="176" spans="3:16" ht="13.8" thickBot="1" x14ac:dyDescent="0.3">
      <c r="C176" s="282">
        <f t="shared" si="9"/>
        <v>160</v>
      </c>
      <c r="D176" s="318" t="s">
        <v>101</v>
      </c>
      <c r="E176" s="272">
        <f t="shared" si="7"/>
        <v>72.515000000000001</v>
      </c>
      <c r="F176" s="273">
        <f t="shared" si="8"/>
        <v>66.60799999999999</v>
      </c>
      <c r="G176" s="436">
        <v>68.215000000000003</v>
      </c>
      <c r="H176" s="435">
        <f>66.204-0.45</f>
        <v>65.753999999999991</v>
      </c>
      <c r="I176" s="436"/>
      <c r="J176" s="435"/>
      <c r="K176" s="436"/>
      <c r="L176" s="435"/>
      <c r="M176" s="436">
        <f>2.2+2.1</f>
        <v>4.3000000000000007</v>
      </c>
      <c r="N176" s="446">
        <f>0.44+0.414</f>
        <v>0.85399999999999998</v>
      </c>
      <c r="O176" s="447"/>
      <c r="P176" s="448"/>
    </row>
    <row r="177" spans="3:16" ht="13.8" thickBot="1" x14ac:dyDescent="0.3">
      <c r="C177" s="282">
        <f t="shared" si="9"/>
        <v>161</v>
      </c>
      <c r="D177" s="318" t="s">
        <v>22</v>
      </c>
      <c r="E177" s="1009">
        <f t="shared" si="7"/>
        <v>1011.93753</v>
      </c>
      <c r="F177" s="273">
        <f t="shared" si="8"/>
        <v>851.52299999999991</v>
      </c>
      <c r="G177" s="436">
        <f>345.54+2</f>
        <v>347.54</v>
      </c>
      <c r="H177" s="435">
        <f>245.525-1.6-1-1</f>
        <v>241.92500000000001</v>
      </c>
      <c r="I177" s="436"/>
      <c r="J177" s="435"/>
      <c r="K177" s="436">
        <f>613.893+0.835+17.479</f>
        <v>632.20700000000011</v>
      </c>
      <c r="L177" s="435">
        <f>594.864+0.823+17.361-3.45</f>
        <v>609.59799999999996</v>
      </c>
      <c r="M177" s="436">
        <f>18+3+1.5</f>
        <v>22.5</v>
      </c>
      <c r="N177" s="446"/>
      <c r="O177" s="447">
        <v>9.6905300000000008</v>
      </c>
      <c r="P177" s="448"/>
    </row>
    <row r="178" spans="3:16" ht="13.8" thickBot="1" x14ac:dyDescent="0.3">
      <c r="C178" s="282">
        <f t="shared" si="9"/>
        <v>162</v>
      </c>
      <c r="D178" s="325" t="s">
        <v>540</v>
      </c>
      <c r="E178" s="272">
        <f t="shared" si="7"/>
        <v>353.17700000000002</v>
      </c>
      <c r="F178" s="273">
        <f t="shared" si="8"/>
        <v>286.59200000000004</v>
      </c>
      <c r="G178" s="436">
        <f>205.738-9.447-2</f>
        <v>194.291</v>
      </c>
      <c r="H178" s="435">
        <f>166.252-9.312-2-3</f>
        <v>151.94</v>
      </c>
      <c r="I178" s="436">
        <f>9.182+1.767+1.068</f>
        <v>12.016999999999999</v>
      </c>
      <c r="J178" s="435">
        <f>4.408+1.025+0.165</f>
        <v>5.5979999999999999</v>
      </c>
      <c r="K178" s="436">
        <f>127.622+5.827</f>
        <v>133.44900000000001</v>
      </c>
      <c r="L178" s="435">
        <f>123.43+5.824-0.2</f>
        <v>129.05400000000003</v>
      </c>
      <c r="M178" s="436">
        <f>12.82+0.6</f>
        <v>13.42</v>
      </c>
      <c r="N178" s="446"/>
      <c r="O178" s="447"/>
      <c r="P178" s="448"/>
    </row>
    <row r="179" spans="3:16" ht="13.8" thickBot="1" x14ac:dyDescent="0.3">
      <c r="C179" s="282">
        <f t="shared" si="9"/>
        <v>163</v>
      </c>
      <c r="D179" s="318" t="s">
        <v>102</v>
      </c>
      <c r="E179" s="272">
        <f t="shared" si="7"/>
        <v>57.996000000000002</v>
      </c>
      <c r="F179" s="273">
        <f t="shared" si="8"/>
        <v>53.957000000000001</v>
      </c>
      <c r="G179" s="436">
        <f>58.854-4.058</f>
        <v>54.795999999999999</v>
      </c>
      <c r="H179" s="435">
        <f>57.319-4</f>
        <v>53.319000000000003</v>
      </c>
      <c r="I179" s="436"/>
      <c r="J179" s="435"/>
      <c r="K179" s="436"/>
      <c r="L179" s="435"/>
      <c r="M179" s="436">
        <f>2.6+0.6</f>
        <v>3.2</v>
      </c>
      <c r="N179" s="446">
        <f>0.52+0.118</f>
        <v>0.63800000000000001</v>
      </c>
      <c r="O179" s="447"/>
      <c r="P179" s="448"/>
    </row>
    <row r="180" spans="3:16" ht="13.8" thickBot="1" x14ac:dyDescent="0.3">
      <c r="C180" s="282">
        <f t="shared" si="9"/>
        <v>164</v>
      </c>
      <c r="D180" s="318" t="s">
        <v>103</v>
      </c>
      <c r="E180" s="1009">
        <f t="shared" si="7"/>
        <v>1274.1773599999997</v>
      </c>
      <c r="F180" s="273">
        <f t="shared" si="8"/>
        <v>1031.521</v>
      </c>
      <c r="G180" s="436">
        <f>621.631-24.859-35-18.35</f>
        <v>543.42199999999991</v>
      </c>
      <c r="H180" s="435">
        <f>392.155-0.5-27.489-0.3-8.15</f>
        <v>355.71600000000001</v>
      </c>
      <c r="I180" s="436">
        <v>0.35599999999999998</v>
      </c>
      <c r="J180" s="435">
        <v>5.5E-2</v>
      </c>
      <c r="K180" s="436">
        <f>695.384+0.615+10.579</f>
        <v>706.57799999999997</v>
      </c>
      <c r="L180" s="435">
        <f>672.072+0.606-0.7+10.412-6.64</f>
        <v>675.75</v>
      </c>
      <c r="M180" s="436">
        <f>19</f>
        <v>19</v>
      </c>
      <c r="N180" s="446"/>
      <c r="O180" s="447">
        <v>4.8213600000000003</v>
      </c>
      <c r="P180" s="448"/>
    </row>
    <row r="181" spans="3:16" s="170" customFormat="1" ht="13.8" thickBot="1" x14ac:dyDescent="0.3">
      <c r="C181" s="282">
        <f t="shared" si="9"/>
        <v>165</v>
      </c>
      <c r="D181" s="318" t="s">
        <v>34</v>
      </c>
      <c r="E181" s="1008">
        <f t="shared" si="7"/>
        <v>553.72519999999997</v>
      </c>
      <c r="F181" s="273">
        <f t="shared" si="8"/>
        <v>464.71600000000001</v>
      </c>
      <c r="G181" s="436">
        <f>120.227-5.841+7.5-8.596</f>
        <v>113.29</v>
      </c>
      <c r="H181" s="435">
        <f>92.34-5.758-7.42-7.948</f>
        <v>71.213999999999999</v>
      </c>
      <c r="I181" s="436">
        <v>134.9</v>
      </c>
      <c r="J181" s="435">
        <v>100.893</v>
      </c>
      <c r="K181" s="436">
        <f>302.347+0.244-4.318</f>
        <v>298.27300000000002</v>
      </c>
      <c r="L181" s="435">
        <f>296.576+0.241-4.208</f>
        <v>292.60899999999998</v>
      </c>
      <c r="M181" s="436">
        <v>7.1</v>
      </c>
      <c r="N181" s="446"/>
      <c r="O181" s="447">
        <v>0.16220000000000001</v>
      </c>
      <c r="P181" s="448"/>
    </row>
    <row r="182" spans="3:16" ht="13.8" thickBot="1" x14ac:dyDescent="0.3">
      <c r="C182" s="282">
        <f t="shared" si="9"/>
        <v>166</v>
      </c>
      <c r="D182" s="318" t="s">
        <v>104</v>
      </c>
      <c r="E182" s="272">
        <f t="shared" si="7"/>
        <v>669.18099999999993</v>
      </c>
      <c r="F182" s="273">
        <f t="shared" si="8"/>
        <v>600.85699999999997</v>
      </c>
      <c r="G182" s="436">
        <f>598.164+1.35+2.367</f>
        <v>601.88099999999997</v>
      </c>
      <c r="H182" s="435">
        <f>566.064-2.75</f>
        <v>563.31399999999996</v>
      </c>
      <c r="I182" s="436"/>
      <c r="J182" s="435"/>
      <c r="K182" s="436">
        <v>32</v>
      </c>
      <c r="L182" s="435">
        <v>31.542999999999999</v>
      </c>
      <c r="M182" s="436">
        <f>33+2.3</f>
        <v>35.299999999999997</v>
      </c>
      <c r="N182" s="446">
        <v>6</v>
      </c>
      <c r="O182" s="447"/>
      <c r="P182" s="448"/>
    </row>
    <row r="183" spans="3:16" ht="13.8" thickBot="1" x14ac:dyDescent="0.3">
      <c r="C183" s="282">
        <f t="shared" si="9"/>
        <v>167</v>
      </c>
      <c r="D183" s="318" t="s">
        <v>247</v>
      </c>
      <c r="E183" s="272">
        <f t="shared" si="7"/>
        <v>226.84299999999999</v>
      </c>
      <c r="F183" s="273">
        <f t="shared" si="8"/>
        <v>200.44300000000001</v>
      </c>
      <c r="G183" s="436">
        <f>200.506-10.145+1.332</f>
        <v>191.69299999999998</v>
      </c>
      <c r="H183" s="435">
        <f>189.96-10</f>
        <v>179.96</v>
      </c>
      <c r="I183" s="436"/>
      <c r="J183" s="435"/>
      <c r="K183" s="436">
        <v>18</v>
      </c>
      <c r="L183" s="435">
        <v>17.742999999999999</v>
      </c>
      <c r="M183" s="436">
        <f>15+2.15</f>
        <v>17.149999999999999</v>
      </c>
      <c r="N183" s="446">
        <v>2.74</v>
      </c>
      <c r="O183" s="447"/>
      <c r="P183" s="448"/>
    </row>
    <row r="184" spans="3:16" ht="13.8" thickBot="1" x14ac:dyDescent="0.3">
      <c r="C184" s="282">
        <f t="shared" si="9"/>
        <v>168</v>
      </c>
      <c r="D184" s="325" t="s">
        <v>246</v>
      </c>
      <c r="E184" s="1009">
        <f t="shared" si="7"/>
        <v>332.95456000000001</v>
      </c>
      <c r="F184" s="273">
        <f t="shared" si="8"/>
        <v>276.17399999999998</v>
      </c>
      <c r="G184" s="436">
        <f>302.548+0.933</f>
        <v>303.48099999999999</v>
      </c>
      <c r="H184" s="435">
        <f>267.405-1.2-2.5</f>
        <v>263.70499999999998</v>
      </c>
      <c r="I184" s="436"/>
      <c r="J184" s="435"/>
      <c r="K184" s="436">
        <f>11.282+0.09</f>
        <v>11.372</v>
      </c>
      <c r="L184" s="435">
        <f>11.12+0.089</f>
        <v>11.209</v>
      </c>
      <c r="M184" s="436">
        <v>14.3</v>
      </c>
      <c r="N184" s="446">
        <v>1.26</v>
      </c>
      <c r="O184" s="447">
        <v>3.8015599999999998</v>
      </c>
      <c r="P184" s="448"/>
    </row>
    <row r="185" spans="3:16" ht="13.8" thickBot="1" x14ac:dyDescent="0.3">
      <c r="C185" s="282">
        <f t="shared" si="9"/>
        <v>169</v>
      </c>
      <c r="D185" s="318" t="s">
        <v>23</v>
      </c>
      <c r="E185" s="1009">
        <f t="shared" si="7"/>
        <v>342.44722999999999</v>
      </c>
      <c r="F185" s="273">
        <f t="shared" si="8"/>
        <v>208.773</v>
      </c>
      <c r="G185" s="438">
        <v>179.02877000000001</v>
      </c>
      <c r="H185" s="457">
        <f>152.65684-0.268+11.12</f>
        <v>163.50883999999999</v>
      </c>
      <c r="I185" s="438"/>
      <c r="J185" s="457"/>
      <c r="K185" s="438">
        <v>45.823160000000001</v>
      </c>
      <c r="L185" s="457">
        <v>45.264159999999997</v>
      </c>
      <c r="M185" s="438">
        <v>23.608000000000001</v>
      </c>
      <c r="N185" s="446"/>
      <c r="O185" s="447">
        <v>93.987300000000005</v>
      </c>
      <c r="P185" s="448"/>
    </row>
    <row r="186" spans="3:16" ht="13.8" thickBot="1" x14ac:dyDescent="0.3">
      <c r="C186" s="282">
        <f t="shared" si="9"/>
        <v>170</v>
      </c>
      <c r="D186" s="295" t="s">
        <v>531</v>
      </c>
      <c r="E186" s="272">
        <f t="shared" si="7"/>
        <v>0</v>
      </c>
      <c r="F186" s="273">
        <f t="shared" si="8"/>
        <v>0</v>
      </c>
      <c r="G186" s="466">
        <v>0</v>
      </c>
      <c r="H186" s="440">
        <v>0</v>
      </c>
      <c r="I186" s="466"/>
      <c r="J186" s="440"/>
      <c r="K186" s="466">
        <v>0</v>
      </c>
      <c r="L186" s="440">
        <v>0</v>
      </c>
      <c r="M186" s="466">
        <v>0</v>
      </c>
      <c r="N186" s="439"/>
      <c r="O186" s="467"/>
      <c r="P186" s="468"/>
    </row>
    <row r="187" spans="3:16" ht="13.8" thickBot="1" x14ac:dyDescent="0.3">
      <c r="C187" s="282">
        <f t="shared" si="9"/>
        <v>171</v>
      </c>
      <c r="D187" s="318" t="s">
        <v>24</v>
      </c>
      <c r="E187" s="272">
        <f t="shared" si="7"/>
        <v>113.13807</v>
      </c>
      <c r="F187" s="273">
        <f t="shared" si="8"/>
        <v>91.94</v>
      </c>
      <c r="G187" s="438">
        <v>41.150230000000001</v>
      </c>
      <c r="H187" s="457">
        <v>27.488160000000001</v>
      </c>
      <c r="I187" s="438"/>
      <c r="J187" s="457"/>
      <c r="K187" s="438">
        <v>71.595839999999995</v>
      </c>
      <c r="L187" s="457">
        <v>64.451840000000004</v>
      </c>
      <c r="M187" s="436">
        <v>0.39200000000000002</v>
      </c>
      <c r="N187" s="446"/>
      <c r="O187" s="447"/>
      <c r="P187" s="448"/>
    </row>
    <row r="188" spans="3:16" ht="13.8" thickBot="1" x14ac:dyDescent="0.3">
      <c r="C188" s="282">
        <f t="shared" si="9"/>
        <v>172</v>
      </c>
      <c r="D188" s="288" t="s">
        <v>105</v>
      </c>
      <c r="E188" s="272">
        <f t="shared" si="7"/>
        <v>562.00300000000004</v>
      </c>
      <c r="F188" s="273">
        <f t="shared" si="8"/>
        <v>464.55300000000005</v>
      </c>
      <c r="G188" s="488">
        <f>428.724+2-15.7+0.723</f>
        <v>415.74700000000001</v>
      </c>
      <c r="H188" s="489">
        <f>348.052+1.971-1.8+2</f>
        <v>350.22300000000001</v>
      </c>
      <c r="I188" s="436">
        <f>7.774+3.535</f>
        <v>11.309000000000001</v>
      </c>
      <c r="J188" s="435">
        <f>4.202+2.05</f>
        <v>6.2519999999999998</v>
      </c>
      <c r="K188" s="436">
        <f>115.303-4.576</f>
        <v>110.727</v>
      </c>
      <c r="L188" s="435">
        <f>111.406-4.404</f>
        <v>107.00200000000001</v>
      </c>
      <c r="M188" s="436">
        <v>24.22</v>
      </c>
      <c r="N188" s="446">
        <v>1.0760000000000001</v>
      </c>
      <c r="O188" s="447"/>
      <c r="P188" s="448"/>
    </row>
    <row r="189" spans="3:16" ht="15" customHeight="1" thickBot="1" x14ac:dyDescent="0.3">
      <c r="C189" s="282">
        <f t="shared" si="9"/>
        <v>173</v>
      </c>
      <c r="D189" s="288" t="s">
        <v>149</v>
      </c>
      <c r="E189" s="272">
        <f t="shared" si="7"/>
        <v>403.81600000000003</v>
      </c>
      <c r="F189" s="273">
        <f t="shared" si="8"/>
        <v>334.60500000000002</v>
      </c>
      <c r="G189" s="488">
        <f>332.212+2.092-18.4</f>
        <v>315.904</v>
      </c>
      <c r="H189" s="489">
        <f>281.327+2.062-13.7</f>
        <v>269.68900000000002</v>
      </c>
      <c r="I189" s="488">
        <f>8.201+3.535+2.609+0.356+1.215</f>
        <v>15.916</v>
      </c>
      <c r="J189" s="489">
        <f>4.1+2.05+0.055</f>
        <v>6.2049999999999992</v>
      </c>
      <c r="K189" s="488">
        <f>65.303+0.183-0.99</f>
        <v>64.496000000000009</v>
      </c>
      <c r="L189" s="489">
        <f>62.946+0.18-0.962-3.453</f>
        <v>58.710999999999991</v>
      </c>
      <c r="M189" s="981">
        <f>6+1.5</f>
        <v>7.5</v>
      </c>
      <c r="N189" s="490"/>
      <c r="O189" s="474"/>
      <c r="P189" s="475"/>
    </row>
    <row r="190" spans="3:16" ht="13.5" customHeight="1" thickBot="1" x14ac:dyDescent="0.3">
      <c r="C190" s="287">
        <f t="shared" si="9"/>
        <v>174</v>
      </c>
      <c r="D190" s="292" t="s">
        <v>281</v>
      </c>
      <c r="E190" s="272">
        <f t="shared" si="7"/>
        <v>20252.351329999998</v>
      </c>
      <c r="F190" s="273">
        <f t="shared" si="8"/>
        <v>16907.681340000003</v>
      </c>
      <c r="G190" s="491">
        <f>SUM(G159:G189)</f>
        <v>9480.2240000000002</v>
      </c>
      <c r="H190" s="491">
        <f t="shared" ref="H190:P190" si="11">SUM(H159:H189)</f>
        <v>7414.2681500000008</v>
      </c>
      <c r="I190" s="491">
        <f t="shared" si="11"/>
        <v>229.17599999999999</v>
      </c>
      <c r="J190" s="491">
        <f>SUM(J159:J189)</f>
        <v>149.25900000000001</v>
      </c>
      <c r="K190" s="491">
        <f t="shared" si="11"/>
        <v>9682.0999999999985</v>
      </c>
      <c r="L190" s="491">
        <f t="shared" si="11"/>
        <v>9327.3993500000015</v>
      </c>
      <c r="M190" s="491">
        <f t="shared" si="11"/>
        <v>657.93799999999987</v>
      </c>
      <c r="N190" s="492">
        <f t="shared" si="11"/>
        <v>14.468</v>
      </c>
      <c r="O190" s="492">
        <f t="shared" si="11"/>
        <v>202.91332999999997</v>
      </c>
      <c r="P190" s="492">
        <f t="shared" si="11"/>
        <v>2.2868400000000002</v>
      </c>
    </row>
    <row r="191" spans="3:16" ht="13.8" thickBot="1" x14ac:dyDescent="0.3">
      <c r="C191" s="291">
        <f t="shared" si="9"/>
        <v>175</v>
      </c>
      <c r="D191" s="289" t="s">
        <v>39</v>
      </c>
      <c r="E191" s="476">
        <f>+G191+I191+K191+M191+O191</f>
        <v>57277.292440000005</v>
      </c>
      <c r="F191" s="481">
        <f>+H191+J191+L191+N191+P191</f>
        <v>29568.331050000001</v>
      </c>
      <c r="G191" s="476">
        <f>G158+G190</f>
        <v>31096.52519</v>
      </c>
      <c r="H191" s="481">
        <f>H158+H190</f>
        <v>16930.189170000001</v>
      </c>
      <c r="I191" s="476">
        <f>I158+I190</f>
        <v>13356.922759999999</v>
      </c>
      <c r="J191" s="481">
        <f>J158+J190</f>
        <v>2798.5099</v>
      </c>
      <c r="K191" s="478">
        <f>K190+K158</f>
        <v>9682.0999999999985</v>
      </c>
      <c r="L191" s="989">
        <f>L190+L158</f>
        <v>9327.3993500000015</v>
      </c>
      <c r="M191" s="989">
        <f>M158+M190</f>
        <v>1761.4229999999995</v>
      </c>
      <c r="N191" s="990">
        <f>N158+N190</f>
        <v>409.58295000000004</v>
      </c>
      <c r="O191" s="989">
        <f t="shared" ref="O191:P191" si="12">O158+O190</f>
        <v>1380.3214899999998</v>
      </c>
      <c r="P191" s="989">
        <f t="shared" si="12"/>
        <v>102.64967999999999</v>
      </c>
    </row>
    <row r="192" spans="3:16" x14ac:dyDescent="0.25">
      <c r="C192" s="182"/>
      <c r="D192" s="169"/>
      <c r="E192" s="169"/>
      <c r="F192" s="169"/>
      <c r="G192" s="169"/>
      <c r="H192" s="169"/>
      <c r="I192" s="169"/>
      <c r="J192" s="169"/>
      <c r="K192" s="169"/>
      <c r="L192" s="169"/>
      <c r="M192" s="169"/>
      <c r="N192" s="169"/>
      <c r="O192" s="169"/>
      <c r="P192" s="169"/>
    </row>
    <row r="193" spans="3:16" x14ac:dyDescent="0.25">
      <c r="C193" s="183"/>
      <c r="D193" s="169"/>
      <c r="E193" s="176"/>
      <c r="F193" s="169"/>
      <c r="G193" s="176"/>
      <c r="H193" s="169"/>
      <c r="I193" s="177"/>
      <c r="J193" s="169"/>
      <c r="K193" s="177"/>
      <c r="L193" s="169"/>
      <c r="M193" s="169"/>
      <c r="N193" s="169"/>
      <c r="O193" s="169"/>
      <c r="P193" s="169"/>
    </row>
    <row r="194" spans="3:16" x14ac:dyDescent="0.25">
      <c r="C194" s="183"/>
      <c r="D194" s="174" t="s">
        <v>518</v>
      </c>
      <c r="E194" s="169"/>
      <c r="F194" s="177"/>
      <c r="G194" s="169"/>
      <c r="H194" s="169"/>
      <c r="I194" s="169"/>
      <c r="J194" s="176"/>
      <c r="K194" s="169"/>
      <c r="L194" s="169"/>
      <c r="M194" s="169"/>
      <c r="N194" s="169"/>
      <c r="O194" s="169"/>
      <c r="P194" s="169"/>
    </row>
    <row r="195" spans="3:16" x14ac:dyDescent="0.25">
      <c r="C195" s="173"/>
      <c r="D195" s="178" t="s">
        <v>519</v>
      </c>
      <c r="E195" s="177"/>
      <c r="F195" s="177"/>
      <c r="G195" s="177"/>
      <c r="H195" s="169"/>
      <c r="I195" s="169"/>
      <c r="J195" s="177"/>
      <c r="K195" s="169"/>
      <c r="L195" s="169"/>
      <c r="M195" s="169"/>
      <c r="N195" s="169"/>
      <c r="O195" s="169"/>
      <c r="P195" s="169"/>
    </row>
    <row r="196" spans="3:16" x14ac:dyDescent="0.25">
      <c r="C196" s="173"/>
      <c r="D196" s="179" t="s">
        <v>520</v>
      </c>
      <c r="E196" s="169"/>
      <c r="F196" s="169"/>
      <c r="G196" s="169"/>
      <c r="H196" s="169"/>
      <c r="I196" s="169"/>
      <c r="J196" s="169"/>
      <c r="K196" s="177"/>
      <c r="L196" s="169"/>
      <c r="M196" s="169"/>
      <c r="N196" s="169"/>
      <c r="O196" s="169"/>
      <c r="P196" s="169"/>
    </row>
    <row r="197" spans="3:16" x14ac:dyDescent="0.25">
      <c r="D197" s="174" t="s">
        <v>521</v>
      </c>
      <c r="E197" s="169"/>
      <c r="F197" s="169"/>
      <c r="G197" s="169"/>
      <c r="H197" s="169"/>
      <c r="I197" s="169"/>
      <c r="J197" s="177"/>
      <c r="K197" s="169"/>
      <c r="L197" s="169"/>
      <c r="M197" s="169"/>
      <c r="N197" s="169"/>
      <c r="O197" s="169"/>
      <c r="P197" s="169"/>
    </row>
    <row r="198" spans="3:16" x14ac:dyDescent="0.25">
      <c r="D198" s="174" t="s">
        <v>522</v>
      </c>
      <c r="E198" s="169"/>
      <c r="F198" s="177"/>
      <c r="G198" s="169"/>
      <c r="H198" s="169"/>
      <c r="I198" s="169"/>
      <c r="J198" s="169"/>
      <c r="K198" s="169"/>
      <c r="L198" s="169"/>
      <c r="M198" s="169"/>
      <c r="N198" s="169"/>
      <c r="O198" s="169"/>
      <c r="P198" s="169"/>
    </row>
    <row r="200" spans="3:16" x14ac:dyDescent="0.25">
      <c r="I200" s="172"/>
    </row>
  </sheetData>
  <mergeCells count="14">
    <mergeCell ref="O15:P15"/>
    <mergeCell ref="C15:C16"/>
    <mergeCell ref="D15:D16"/>
    <mergeCell ref="E15:F15"/>
    <mergeCell ref="G2:H2"/>
    <mergeCell ref="D11:J11"/>
    <mergeCell ref="E12:H12"/>
    <mergeCell ref="G15:H15"/>
    <mergeCell ref="I15:J15"/>
    <mergeCell ref="J8:N8"/>
    <mergeCell ref="K9:M9"/>
    <mergeCell ref="K15:L15"/>
    <mergeCell ref="M15:N15"/>
    <mergeCell ref="I7:N7"/>
  </mergeCells>
  <pageMargins left="0.25" right="0.25" top="0.75" bottom="0.75" header="0.3" footer="0.3"/>
  <pageSetup paperSize="9" scale="7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251"/>
  <sheetViews>
    <sheetView zoomScale="98" zoomScaleNormal="98" workbookViewId="0">
      <pane xSplit="2" ySplit="15" topLeftCell="C177" activePane="bottomRight" state="frozen"/>
      <selection pane="topRight" activeCell="C1" sqref="C1"/>
      <selection pane="bottomLeft" activeCell="A16" sqref="A16"/>
      <selection pane="bottomRight" activeCell="C238" sqref="C238"/>
    </sheetView>
  </sheetViews>
  <sheetFormatPr defaultColWidth="9.109375" defaultRowHeight="15" customHeight="1" x14ac:dyDescent="0.25"/>
  <cols>
    <col min="1" max="1" width="4.6640625" style="169" customWidth="1"/>
    <col min="2" max="2" width="55" style="169" customWidth="1"/>
    <col min="3" max="3" width="12.6640625" style="169" customWidth="1"/>
    <col min="4" max="4" width="11.6640625" style="169" customWidth="1"/>
    <col min="5" max="6" width="11.5546875" style="169" customWidth="1"/>
    <col min="7" max="7" width="11.6640625" style="169" customWidth="1"/>
    <col min="8" max="8" width="10.5546875" style="169" customWidth="1"/>
    <col min="9" max="9" width="9.44140625" style="169" customWidth="1"/>
    <col min="10" max="10" width="10.88671875" style="169" customWidth="1"/>
    <col min="11" max="11" width="10.5546875" style="169" customWidth="1"/>
    <col min="12" max="12" width="10" style="169" customWidth="1"/>
    <col min="13" max="13" width="11.6640625" style="169" customWidth="1"/>
    <col min="14" max="14" width="9.6640625" style="169" customWidth="1"/>
    <col min="15" max="15" width="13.109375" style="169" customWidth="1"/>
    <col min="16" max="16384" width="9.109375" style="169"/>
  </cols>
  <sheetData>
    <row r="1" spans="1:17" ht="18.75" customHeight="1" x14ac:dyDescent="0.25"/>
    <row r="2" spans="1:17" ht="15" customHeight="1" x14ac:dyDescent="0.25">
      <c r="I2" s="169" t="s">
        <v>25</v>
      </c>
    </row>
    <row r="3" spans="1:17" ht="15" customHeight="1" x14ac:dyDescent="0.25">
      <c r="I3" s="169" t="s">
        <v>465</v>
      </c>
      <c r="J3" s="174"/>
      <c r="K3" s="174"/>
    </row>
    <row r="4" spans="1:17" ht="18.75" customHeight="1" x14ac:dyDescent="0.25">
      <c r="I4" s="169" t="s">
        <v>109</v>
      </c>
      <c r="J4" s="174"/>
      <c r="K4" s="174"/>
    </row>
    <row r="5" spans="1:17" ht="15" customHeight="1" x14ac:dyDescent="0.25">
      <c r="H5" s="1063" t="s">
        <v>671</v>
      </c>
      <c r="I5" s="1063"/>
      <c r="J5" s="1063"/>
      <c r="K5" s="1063"/>
      <c r="L5" s="1063"/>
      <c r="M5" s="1063"/>
    </row>
    <row r="6" spans="1:17" ht="15" customHeight="1" x14ac:dyDescent="0.25">
      <c r="H6" s="1063" t="s">
        <v>845</v>
      </c>
      <c r="I6" s="1063"/>
      <c r="J6" s="1063"/>
      <c r="K6" s="1063"/>
      <c r="L6" s="1063"/>
      <c r="M6" s="1063"/>
    </row>
    <row r="7" spans="1:17" ht="15" customHeight="1" x14ac:dyDescent="0.25">
      <c r="H7" s="1063" t="s">
        <v>672</v>
      </c>
      <c r="I7" s="1063"/>
      <c r="J7" s="1063"/>
      <c r="K7" s="1063"/>
      <c r="L7" s="1063"/>
      <c r="M7" s="187"/>
    </row>
    <row r="8" spans="1:17" ht="24" customHeight="1" x14ac:dyDescent="0.3">
      <c r="B8" s="2" t="s">
        <v>416</v>
      </c>
      <c r="C8" s="2"/>
      <c r="D8" s="2"/>
      <c r="E8" s="2"/>
      <c r="F8" s="2"/>
      <c r="G8" s="2"/>
    </row>
    <row r="9" spans="1:17" ht="15" customHeight="1" x14ac:dyDescent="0.3">
      <c r="B9" s="2"/>
      <c r="C9" s="2"/>
      <c r="D9" s="2"/>
      <c r="E9" s="2"/>
      <c r="F9" s="2"/>
      <c r="G9" s="2"/>
      <c r="Q9" s="176"/>
    </row>
    <row r="10" spans="1:17" ht="14.25" customHeight="1" x14ac:dyDescent="0.25"/>
    <row r="13" spans="1:17" ht="15" customHeight="1" thickBot="1" x14ac:dyDescent="0.3">
      <c r="A13" s="187"/>
      <c r="B13" s="187"/>
      <c r="C13" s="187"/>
      <c r="D13" s="187"/>
      <c r="E13" s="187"/>
      <c r="F13" s="187"/>
      <c r="G13" s="187"/>
      <c r="H13" s="187"/>
      <c r="I13" s="190"/>
      <c r="J13" s="187"/>
      <c r="K13" s="187" t="s">
        <v>503</v>
      </c>
      <c r="L13" s="187"/>
    </row>
    <row r="14" spans="1:17" ht="15" customHeight="1" x14ac:dyDescent="0.25">
      <c r="A14" s="1069" t="s">
        <v>647</v>
      </c>
      <c r="B14" s="1071" t="s">
        <v>42</v>
      </c>
      <c r="C14" s="1065" t="s">
        <v>43</v>
      </c>
      <c r="D14" s="1066"/>
      <c r="E14" s="1065" t="s">
        <v>45</v>
      </c>
      <c r="F14" s="1066"/>
      <c r="G14" s="1065" t="s">
        <v>286</v>
      </c>
      <c r="H14" s="1066"/>
      <c r="I14" s="1065" t="s">
        <v>285</v>
      </c>
      <c r="J14" s="1066"/>
      <c r="K14" s="1065" t="s">
        <v>47</v>
      </c>
      <c r="L14" s="1067"/>
      <c r="M14" s="1065" t="s">
        <v>517</v>
      </c>
      <c r="N14" s="1068"/>
    </row>
    <row r="15" spans="1:17" ht="55.5" customHeight="1" thickBot="1" x14ac:dyDescent="0.3">
      <c r="A15" s="1070"/>
      <c r="B15" s="1072"/>
      <c r="C15" s="209" t="s">
        <v>43</v>
      </c>
      <c r="D15" s="210" t="s">
        <v>486</v>
      </c>
      <c r="E15" s="211" t="s">
        <v>43</v>
      </c>
      <c r="F15" s="212" t="s">
        <v>486</v>
      </c>
      <c r="G15" s="211" t="s">
        <v>43</v>
      </c>
      <c r="H15" s="212" t="s">
        <v>486</v>
      </c>
      <c r="I15" s="211" t="s">
        <v>43</v>
      </c>
      <c r="J15" s="212" t="s">
        <v>486</v>
      </c>
      <c r="K15" s="213" t="s">
        <v>43</v>
      </c>
      <c r="L15" s="214" t="s">
        <v>486</v>
      </c>
      <c r="M15" s="215" t="s">
        <v>43</v>
      </c>
      <c r="N15" s="216" t="s">
        <v>486</v>
      </c>
    </row>
    <row r="16" spans="1:17" ht="29.25" customHeight="1" thickBot="1" x14ac:dyDescent="0.3">
      <c r="A16" s="289">
        <v>1</v>
      </c>
      <c r="B16" s="217" t="s">
        <v>111</v>
      </c>
      <c r="C16" s="218">
        <f>E16+G16+I16+K16+M16</f>
        <v>8673.3744899999983</v>
      </c>
      <c r="D16" s="219">
        <f>F16+H16+J16+L16+N16</f>
        <v>6337.1298200000001</v>
      </c>
      <c r="E16" s="220">
        <f>E17+E19+E26+E29+E33+E37+E42+SUM(E47:E57)+E40</f>
        <v>5728.26397</v>
      </c>
      <c r="F16" s="221">
        <f>F17+F19+F26+F29+F33+F37+F42+SUM(F47:F57)</f>
        <v>4651.7730000000001</v>
      </c>
      <c r="G16" s="220">
        <f>G19+G27+SUM(G47:G57)+G29</f>
        <v>1836.5664199999997</v>
      </c>
      <c r="H16" s="221">
        <f>H19+H27+SUM(H47:H57)</f>
        <v>1682.098</v>
      </c>
      <c r="I16" s="222"/>
      <c r="J16" s="219"/>
      <c r="K16" s="223">
        <f>K29+SUM(K48:K57)</f>
        <v>47.74</v>
      </c>
      <c r="L16" s="224"/>
      <c r="M16" s="225">
        <f>M19</f>
        <v>1060.8041000000001</v>
      </c>
      <c r="N16" s="225">
        <f>N19</f>
        <v>3.2588200000000001</v>
      </c>
    </row>
    <row r="17" spans="1:20" ht="15" customHeight="1" x14ac:dyDescent="0.25">
      <c r="A17" s="294">
        <f>A16+1</f>
        <v>2</v>
      </c>
      <c r="B17" s="227" t="s">
        <v>51</v>
      </c>
      <c r="C17" s="232">
        <f>E17+G17+I17+K17+M17</f>
        <v>228.95699999999999</v>
      </c>
      <c r="D17" s="229">
        <f t="shared" ref="D17:D18" si="0">F17+H17+J17+L17</f>
        <v>184.89400000000001</v>
      </c>
      <c r="E17" s="230">
        <f>E18</f>
        <v>228.95699999999999</v>
      </c>
      <c r="F17" s="231">
        <f>F18</f>
        <v>184.89400000000001</v>
      </c>
      <c r="G17" s="232"/>
      <c r="H17" s="233"/>
      <c r="I17" s="232"/>
      <c r="J17" s="233"/>
      <c r="K17" s="234"/>
      <c r="L17" s="235"/>
      <c r="M17" s="236"/>
      <c r="N17" s="237"/>
    </row>
    <row r="18" spans="1:20" ht="15" customHeight="1" x14ac:dyDescent="0.25">
      <c r="A18" s="226">
        <f t="shared" ref="A18:A81" si="1">A17+1</f>
        <v>3</v>
      </c>
      <c r="B18" s="296" t="s">
        <v>53</v>
      </c>
      <c r="C18" s="232">
        <f t="shared" ref="C18:C81" si="2">E18+G18+I18+K18+M18</f>
        <v>228.95699999999999</v>
      </c>
      <c r="D18" s="502">
        <f t="shared" si="0"/>
        <v>184.89400000000001</v>
      </c>
      <c r="E18" s="729">
        <f>188.957+42-2</f>
        <v>228.95699999999999</v>
      </c>
      <c r="F18" s="494">
        <f>142.894+42</f>
        <v>184.89400000000001</v>
      </c>
      <c r="G18" s="232"/>
      <c r="H18" s="233"/>
      <c r="I18" s="232"/>
      <c r="J18" s="233"/>
      <c r="K18" s="234"/>
      <c r="L18" s="235"/>
      <c r="M18" s="503"/>
      <c r="N18" s="504"/>
    </row>
    <row r="19" spans="1:20" ht="15" customHeight="1" x14ac:dyDescent="0.25">
      <c r="A19" s="294">
        <f t="shared" si="1"/>
        <v>4</v>
      </c>
      <c r="B19" s="238" t="s">
        <v>112</v>
      </c>
      <c r="C19" s="232">
        <f t="shared" si="2"/>
        <v>6457.9335199999996</v>
      </c>
      <c r="D19" s="505">
        <f>SUM(D20:D23)</f>
        <v>4739.4630000000006</v>
      </c>
      <c r="E19" s="506">
        <f>SUM(E20:E25)</f>
        <v>4892.262999999999</v>
      </c>
      <c r="F19" s="507">
        <f>SUM(F20:F23)</f>
        <v>4293.9359999999997</v>
      </c>
      <c r="G19" s="252">
        <f>G20+G21+G23+G22</f>
        <v>504.86641999999995</v>
      </c>
      <c r="H19" s="508">
        <f>H20+H21+H23+H22</f>
        <v>445.52699999999999</v>
      </c>
      <c r="I19" s="232"/>
      <c r="J19" s="233"/>
      <c r="K19" s="234"/>
      <c r="L19" s="235"/>
      <c r="M19" s="544">
        <f>M25</f>
        <v>1060.8041000000001</v>
      </c>
      <c r="N19" s="509">
        <f>N25</f>
        <v>3.2588200000000001</v>
      </c>
    </row>
    <row r="20" spans="1:20" ht="15" customHeight="1" x14ac:dyDescent="0.25">
      <c r="A20" s="226">
        <f t="shared" si="1"/>
        <v>5</v>
      </c>
      <c r="B20" s="296" t="s">
        <v>26</v>
      </c>
      <c r="C20" s="232">
        <f t="shared" si="2"/>
        <v>5121.5224199999993</v>
      </c>
      <c r="D20" s="502">
        <f>F20+H20+J20+L20</f>
        <v>4607.43</v>
      </c>
      <c r="E20" s="498">
        <f>4618.056+4.5</f>
        <v>4622.5559999999996</v>
      </c>
      <c r="F20" s="442">
        <f>4230.719-24-39</f>
        <v>4167.7190000000001</v>
      </c>
      <c r="G20" s="974">
        <f>497.02362-0.265+0.09693+0.1049-0.1+2+0.10597</f>
        <v>498.96641999999997</v>
      </c>
      <c r="H20" s="432">
        <f>437.767+1.944</f>
        <v>439.71100000000001</v>
      </c>
      <c r="I20" s="510"/>
      <c r="J20" s="511"/>
      <c r="K20" s="512"/>
      <c r="L20" s="513"/>
      <c r="M20" s="503"/>
      <c r="N20" s="504"/>
    </row>
    <row r="21" spans="1:20" ht="15" customHeight="1" x14ac:dyDescent="0.25">
      <c r="A21" s="226">
        <f t="shared" si="1"/>
        <v>6</v>
      </c>
      <c r="B21" s="296" t="s">
        <v>54</v>
      </c>
      <c r="C21" s="232">
        <f t="shared" si="2"/>
        <v>115.785</v>
      </c>
      <c r="D21" s="502"/>
      <c r="E21" s="431">
        <f>100.785+15</f>
        <v>115.785</v>
      </c>
      <c r="F21" s="432"/>
      <c r="G21" s="510"/>
      <c r="H21" s="511"/>
      <c r="I21" s="510"/>
      <c r="J21" s="511"/>
      <c r="K21" s="512"/>
      <c r="L21" s="513"/>
      <c r="M21" s="503"/>
      <c r="N21" s="504"/>
    </row>
    <row r="22" spans="1:20" ht="15" customHeight="1" x14ac:dyDescent="0.25">
      <c r="A22" s="226">
        <f t="shared" si="1"/>
        <v>7</v>
      </c>
      <c r="B22" s="297" t="s">
        <v>52</v>
      </c>
      <c r="C22" s="232">
        <f t="shared" si="2"/>
        <v>142.172</v>
      </c>
      <c r="D22" s="514">
        <f t="shared" ref="D22" si="3">F22+H22+J22+L22</f>
        <v>132.03299999999999</v>
      </c>
      <c r="E22" s="499">
        <v>136.27199999999999</v>
      </c>
      <c r="F22" s="500">
        <v>126.217</v>
      </c>
      <c r="G22" s="515">
        <v>5.9</v>
      </c>
      <c r="H22" s="516">
        <v>5.8159999999999998</v>
      </c>
      <c r="I22" s="510"/>
      <c r="J22" s="511"/>
      <c r="K22" s="512"/>
      <c r="L22" s="513"/>
      <c r="M22" s="503"/>
      <c r="N22" s="504"/>
      <c r="O22" s="177"/>
    </row>
    <row r="23" spans="1:20" ht="15" customHeight="1" x14ac:dyDescent="0.25">
      <c r="A23" s="226">
        <f t="shared" si="1"/>
        <v>8</v>
      </c>
      <c r="B23" s="296" t="s">
        <v>513</v>
      </c>
      <c r="C23" s="232">
        <f t="shared" si="2"/>
        <v>0</v>
      </c>
      <c r="D23" s="502"/>
      <c r="E23" s="581">
        <f>37.39772-30-7.39772</f>
        <v>0</v>
      </c>
      <c r="F23" s="511"/>
      <c r="G23" s="510"/>
      <c r="H23" s="511"/>
      <c r="I23" s="510"/>
      <c r="J23" s="511"/>
      <c r="K23" s="512"/>
      <c r="L23" s="513"/>
      <c r="M23" s="503"/>
      <c r="N23" s="504"/>
    </row>
    <row r="24" spans="1:20" ht="27" customHeight="1" x14ac:dyDescent="0.25">
      <c r="A24" s="226">
        <f t="shared" si="1"/>
        <v>9</v>
      </c>
      <c r="B24" s="285" t="s">
        <v>428</v>
      </c>
      <c r="C24" s="232">
        <f t="shared" si="2"/>
        <v>17.649999999999999</v>
      </c>
      <c r="D24" s="517"/>
      <c r="E24" s="518">
        <v>17.649999999999999</v>
      </c>
      <c r="F24" s="511"/>
      <c r="G24" s="510"/>
      <c r="H24" s="511"/>
      <c r="I24" s="510"/>
      <c r="J24" s="511"/>
      <c r="K24" s="512"/>
      <c r="L24" s="513"/>
      <c r="M24" s="503"/>
      <c r="N24" s="504"/>
      <c r="O24" s="177"/>
    </row>
    <row r="25" spans="1:20" ht="24" customHeight="1" x14ac:dyDescent="0.25">
      <c r="A25" s="226">
        <f t="shared" si="1"/>
        <v>10</v>
      </c>
      <c r="B25" s="298" t="s">
        <v>515</v>
      </c>
      <c r="C25" s="232">
        <f t="shared" si="2"/>
        <v>1060.8041000000001</v>
      </c>
      <c r="D25" s="519">
        <f>N25</f>
        <v>3.2588200000000001</v>
      </c>
      <c r="E25" s="520"/>
      <c r="F25" s="511"/>
      <c r="G25" s="510"/>
      <c r="H25" s="511"/>
      <c r="I25" s="510"/>
      <c r="J25" s="511"/>
      <c r="K25" s="512"/>
      <c r="L25" s="513"/>
      <c r="M25" s="708">
        <f>1055.7781+5.026</f>
        <v>1060.8041000000001</v>
      </c>
      <c r="N25" s="504">
        <v>3.2588200000000001</v>
      </c>
    </row>
    <row r="26" spans="1:20" ht="15" customHeight="1" x14ac:dyDescent="0.25">
      <c r="A26" s="294">
        <f t="shared" si="1"/>
        <v>11</v>
      </c>
      <c r="B26" s="240" t="s">
        <v>116</v>
      </c>
      <c r="C26" s="232">
        <f t="shared" si="2"/>
        <v>113.559</v>
      </c>
      <c r="D26" s="521">
        <f>F26+H26+J26+L26</f>
        <v>110.42400000000001</v>
      </c>
      <c r="E26" s="555">
        <f>100.559+13</f>
        <v>113.559</v>
      </c>
      <c r="F26" s="522">
        <f>97.424+13</f>
        <v>110.42400000000001</v>
      </c>
      <c r="G26" s="523"/>
      <c r="H26" s="524"/>
      <c r="I26" s="523"/>
      <c r="J26" s="524"/>
      <c r="K26" s="525"/>
      <c r="L26" s="513"/>
      <c r="M26" s="503"/>
      <c r="N26" s="504"/>
    </row>
    <row r="27" spans="1:20" ht="15" customHeight="1" x14ac:dyDescent="0.25">
      <c r="A27" s="294">
        <f t="shared" si="1"/>
        <v>12</v>
      </c>
      <c r="B27" s="240" t="s">
        <v>117</v>
      </c>
      <c r="C27" s="228">
        <f t="shared" si="2"/>
        <v>5</v>
      </c>
      <c r="D27" s="521"/>
      <c r="E27" s="526"/>
      <c r="F27" s="527"/>
      <c r="G27" s="528">
        <f>G28</f>
        <v>5</v>
      </c>
      <c r="H27" s="524"/>
      <c r="I27" s="523"/>
      <c r="J27" s="524"/>
      <c r="K27" s="525"/>
      <c r="L27" s="513"/>
      <c r="M27" s="503"/>
      <c r="N27" s="504"/>
      <c r="T27" s="169" t="s">
        <v>404</v>
      </c>
    </row>
    <row r="28" spans="1:20" ht="15" customHeight="1" x14ac:dyDescent="0.25">
      <c r="A28" s="226">
        <f t="shared" si="1"/>
        <v>13</v>
      </c>
      <c r="B28" s="296" t="s">
        <v>61</v>
      </c>
      <c r="C28" s="228">
        <f t="shared" si="2"/>
        <v>5</v>
      </c>
      <c r="D28" s="521"/>
      <c r="E28" s="529"/>
      <c r="F28" s="522"/>
      <c r="G28" s="523">
        <v>5</v>
      </c>
      <c r="H28" s="524"/>
      <c r="I28" s="523"/>
      <c r="J28" s="524"/>
      <c r="K28" s="530"/>
      <c r="L28" s="513"/>
      <c r="M28" s="503"/>
      <c r="N28" s="504"/>
    </row>
    <row r="29" spans="1:20" ht="15" customHeight="1" x14ac:dyDescent="0.25">
      <c r="A29" s="294">
        <f t="shared" si="1"/>
        <v>14</v>
      </c>
      <c r="B29" s="240" t="s">
        <v>230</v>
      </c>
      <c r="C29" s="228">
        <f t="shared" si="2"/>
        <v>43.2</v>
      </c>
      <c r="D29" s="521"/>
      <c r="E29" s="528">
        <f>E30+E31+E32</f>
        <v>4.6999999999999993</v>
      </c>
      <c r="F29" s="522"/>
      <c r="G29" s="528">
        <f>G30+G31+G32</f>
        <v>2.5</v>
      </c>
      <c r="H29" s="522"/>
      <c r="I29" s="528"/>
      <c r="J29" s="522"/>
      <c r="K29" s="531">
        <f>K32</f>
        <v>36</v>
      </c>
      <c r="L29" s="532"/>
      <c r="M29" s="503"/>
      <c r="N29" s="504"/>
    </row>
    <row r="30" spans="1:20" ht="15" customHeight="1" x14ac:dyDescent="0.25">
      <c r="A30" s="226">
        <f t="shared" si="1"/>
        <v>15</v>
      </c>
      <c r="B30" s="296" t="s">
        <v>231</v>
      </c>
      <c r="C30" s="228">
        <f t="shared" si="2"/>
        <v>4.6999999999999993</v>
      </c>
      <c r="D30" s="502"/>
      <c r="E30" s="523">
        <f>15-10.3</f>
        <v>4.6999999999999993</v>
      </c>
      <c r="F30" s="533"/>
      <c r="G30" s="534"/>
      <c r="H30" s="524"/>
      <c r="I30" s="523"/>
      <c r="J30" s="524"/>
      <c r="K30" s="535"/>
      <c r="L30" s="513"/>
      <c r="M30" s="503"/>
      <c r="N30" s="504"/>
    </row>
    <row r="31" spans="1:20" ht="15" customHeight="1" x14ac:dyDescent="0.25">
      <c r="A31" s="226">
        <f t="shared" si="1"/>
        <v>16</v>
      </c>
      <c r="B31" s="298" t="s">
        <v>290</v>
      </c>
      <c r="C31" s="228">
        <f t="shared" si="2"/>
        <v>2.5</v>
      </c>
      <c r="D31" s="536"/>
      <c r="E31" s="518"/>
      <c r="F31" s="537"/>
      <c r="G31" s="534">
        <f>1.1+1.4</f>
        <v>2.5</v>
      </c>
      <c r="H31" s="524"/>
      <c r="I31" s="523"/>
      <c r="J31" s="524"/>
      <c r="K31" s="535"/>
      <c r="L31" s="513"/>
      <c r="M31" s="503"/>
      <c r="N31" s="504"/>
    </row>
    <row r="32" spans="1:20" ht="15" customHeight="1" x14ac:dyDescent="0.25">
      <c r="A32" s="226">
        <f t="shared" si="1"/>
        <v>17</v>
      </c>
      <c r="B32" s="296" t="s">
        <v>232</v>
      </c>
      <c r="C32" s="228">
        <f t="shared" si="2"/>
        <v>36</v>
      </c>
      <c r="D32" s="502"/>
      <c r="E32" s="523"/>
      <c r="F32" s="524"/>
      <c r="G32" s="534"/>
      <c r="H32" s="524"/>
      <c r="I32" s="523"/>
      <c r="J32" s="524"/>
      <c r="K32" s="525">
        <f>50-14</f>
        <v>36</v>
      </c>
      <c r="L32" s="513"/>
      <c r="M32" s="503"/>
      <c r="N32" s="504"/>
    </row>
    <row r="33" spans="1:14" ht="14.25" customHeight="1" x14ac:dyDescent="0.25">
      <c r="A33" s="294">
        <f t="shared" si="1"/>
        <v>18</v>
      </c>
      <c r="B33" s="241" t="s">
        <v>445</v>
      </c>
      <c r="C33" s="228">
        <f t="shared" si="2"/>
        <v>44.835999999999999</v>
      </c>
      <c r="D33" s="521"/>
      <c r="E33" s="528">
        <f>E34+E35+E36</f>
        <v>44.835999999999999</v>
      </c>
      <c r="F33" s="522"/>
      <c r="G33" s="523"/>
      <c r="H33" s="524"/>
      <c r="I33" s="523"/>
      <c r="J33" s="524"/>
      <c r="K33" s="525"/>
      <c r="L33" s="513"/>
      <c r="M33" s="503"/>
      <c r="N33" s="504"/>
    </row>
    <row r="34" spans="1:14" ht="15" customHeight="1" x14ac:dyDescent="0.25">
      <c r="A34" s="226">
        <f t="shared" si="1"/>
        <v>19</v>
      </c>
      <c r="B34" s="299" t="s">
        <v>73</v>
      </c>
      <c r="C34" s="228">
        <f t="shared" si="2"/>
        <v>21.387999999999998</v>
      </c>
      <c r="D34" s="502"/>
      <c r="E34" s="523">
        <f>50-15.6-13.012</f>
        <v>21.387999999999998</v>
      </c>
      <c r="F34" s="524"/>
      <c r="G34" s="523"/>
      <c r="H34" s="524"/>
      <c r="I34" s="523"/>
      <c r="J34" s="524"/>
      <c r="K34" s="525"/>
      <c r="L34" s="513"/>
      <c r="M34" s="503"/>
      <c r="N34" s="504"/>
    </row>
    <row r="35" spans="1:14" ht="26.25" customHeight="1" x14ac:dyDescent="0.25">
      <c r="A35" s="226">
        <f t="shared" si="1"/>
        <v>20</v>
      </c>
      <c r="B35" s="300" t="s">
        <v>234</v>
      </c>
      <c r="C35" s="228">
        <f t="shared" si="2"/>
        <v>14.45</v>
      </c>
      <c r="D35" s="502"/>
      <c r="E35" s="523">
        <f>25-10.55</f>
        <v>14.45</v>
      </c>
      <c r="F35" s="524"/>
      <c r="G35" s="523"/>
      <c r="H35" s="524"/>
      <c r="I35" s="523"/>
      <c r="J35" s="524"/>
      <c r="K35" s="525"/>
      <c r="L35" s="513"/>
      <c r="M35" s="503"/>
      <c r="N35" s="504"/>
    </row>
    <row r="36" spans="1:14" ht="27" customHeight="1" x14ac:dyDescent="0.25">
      <c r="A36" s="226">
        <f t="shared" si="1"/>
        <v>21</v>
      </c>
      <c r="B36" s="298" t="s">
        <v>446</v>
      </c>
      <c r="C36" s="228">
        <f t="shared" si="2"/>
        <v>8.9980000000000011</v>
      </c>
      <c r="D36" s="517"/>
      <c r="E36" s="518">
        <f>15-6.002</f>
        <v>8.9980000000000011</v>
      </c>
      <c r="F36" s="524"/>
      <c r="G36" s="523"/>
      <c r="H36" s="524"/>
      <c r="I36" s="523"/>
      <c r="J36" s="524"/>
      <c r="K36" s="525"/>
      <c r="L36" s="513"/>
      <c r="M36" s="503"/>
      <c r="N36" s="504"/>
    </row>
    <row r="37" spans="1:14" ht="15" customHeight="1" x14ac:dyDescent="0.25">
      <c r="A37" s="294">
        <f t="shared" si="1"/>
        <v>22</v>
      </c>
      <c r="B37" s="240" t="s">
        <v>126</v>
      </c>
      <c r="C37" s="228">
        <f t="shared" si="2"/>
        <v>3</v>
      </c>
      <c r="D37" s="502"/>
      <c r="E37" s="528">
        <f>E38+E39</f>
        <v>3</v>
      </c>
      <c r="F37" s="524"/>
      <c r="G37" s="523"/>
      <c r="H37" s="524"/>
      <c r="I37" s="523"/>
      <c r="J37" s="524"/>
      <c r="K37" s="525"/>
      <c r="L37" s="502"/>
      <c r="M37" s="518"/>
      <c r="N37" s="537"/>
    </row>
    <row r="38" spans="1:14" ht="26.25" customHeight="1" x14ac:dyDescent="0.25">
      <c r="A38" s="226">
        <f t="shared" si="1"/>
        <v>23</v>
      </c>
      <c r="B38" s="298" t="s">
        <v>443</v>
      </c>
      <c r="C38" s="228">
        <f t="shared" si="2"/>
        <v>1.5</v>
      </c>
      <c r="D38" s="502"/>
      <c r="E38" s="523">
        <v>1.5</v>
      </c>
      <c r="F38" s="524"/>
      <c r="G38" s="523"/>
      <c r="H38" s="524"/>
      <c r="I38" s="523"/>
      <c r="J38" s="524"/>
      <c r="K38" s="525"/>
      <c r="L38" s="502"/>
      <c r="M38" s="518"/>
      <c r="N38" s="537"/>
    </row>
    <row r="39" spans="1:14" ht="15" customHeight="1" x14ac:dyDescent="0.25">
      <c r="A39" s="226">
        <f t="shared" si="1"/>
        <v>24</v>
      </c>
      <c r="B39" s="301" t="s">
        <v>77</v>
      </c>
      <c r="C39" s="228">
        <f t="shared" si="2"/>
        <v>1.5</v>
      </c>
      <c r="D39" s="538"/>
      <c r="E39" s="539">
        <v>1.5</v>
      </c>
      <c r="F39" s="524"/>
      <c r="G39" s="523"/>
      <c r="H39" s="524"/>
      <c r="I39" s="523"/>
      <c r="J39" s="524"/>
      <c r="K39" s="525"/>
      <c r="L39" s="502"/>
      <c r="M39" s="518"/>
      <c r="N39" s="537"/>
    </row>
    <row r="40" spans="1:14" ht="15" customHeight="1" x14ac:dyDescent="0.25">
      <c r="A40" s="294">
        <f t="shared" si="1"/>
        <v>25</v>
      </c>
      <c r="B40" s="242" t="s">
        <v>255</v>
      </c>
      <c r="C40" s="228">
        <f t="shared" si="2"/>
        <v>36.299999999999997</v>
      </c>
      <c r="D40" s="540"/>
      <c r="E40" s="526">
        <f>E41</f>
        <v>36.299999999999997</v>
      </c>
      <c r="F40" s="541"/>
      <c r="G40" s="523"/>
      <c r="H40" s="524"/>
      <c r="I40" s="523"/>
      <c r="J40" s="524"/>
      <c r="K40" s="525"/>
      <c r="L40" s="502"/>
      <c r="M40" s="518"/>
      <c r="N40" s="537"/>
    </row>
    <row r="41" spans="1:14" ht="15" customHeight="1" x14ac:dyDescent="0.25">
      <c r="A41" s="226">
        <f t="shared" si="1"/>
        <v>26</v>
      </c>
      <c r="B41" s="298" t="s">
        <v>422</v>
      </c>
      <c r="C41" s="228">
        <f t="shared" si="2"/>
        <v>36.299999999999997</v>
      </c>
      <c r="D41" s="542"/>
      <c r="E41" s="543">
        <v>36.299999999999997</v>
      </c>
      <c r="F41" s="524"/>
      <c r="G41" s="523"/>
      <c r="H41" s="524"/>
      <c r="I41" s="523"/>
      <c r="J41" s="524"/>
      <c r="K41" s="525"/>
      <c r="L41" s="502"/>
      <c r="M41" s="518"/>
      <c r="N41" s="537"/>
    </row>
    <row r="42" spans="1:14" ht="15" customHeight="1" x14ac:dyDescent="0.25">
      <c r="A42" s="294">
        <f t="shared" si="1"/>
        <v>27</v>
      </c>
      <c r="B42" s="243" t="s">
        <v>282</v>
      </c>
      <c r="C42" s="506">
        <f t="shared" si="2"/>
        <v>148.07096999999999</v>
      </c>
      <c r="D42" s="540"/>
      <c r="E42" s="544">
        <f>E43+E44+E45+E46</f>
        <v>148.07096999999999</v>
      </c>
      <c r="F42" s="524"/>
      <c r="G42" s="523"/>
      <c r="H42" s="524"/>
      <c r="I42" s="523"/>
      <c r="J42" s="524"/>
      <c r="K42" s="525"/>
      <c r="L42" s="502"/>
      <c r="M42" s="518"/>
      <c r="N42" s="537"/>
    </row>
    <row r="43" spans="1:14" ht="15" customHeight="1" x14ac:dyDescent="0.25">
      <c r="A43" s="226">
        <f t="shared" si="1"/>
        <v>28</v>
      </c>
      <c r="B43" s="298" t="s">
        <v>254</v>
      </c>
      <c r="C43" s="228">
        <f t="shared" si="2"/>
        <v>65.3</v>
      </c>
      <c r="D43" s="540"/>
      <c r="E43" s="518">
        <v>65.3</v>
      </c>
      <c r="F43" s="524"/>
      <c r="G43" s="523"/>
      <c r="H43" s="524"/>
      <c r="I43" s="523"/>
      <c r="J43" s="524"/>
      <c r="K43" s="525"/>
      <c r="L43" s="502"/>
      <c r="M43" s="518"/>
      <c r="N43" s="537"/>
    </row>
    <row r="44" spans="1:14" ht="24.75" customHeight="1" x14ac:dyDescent="0.25">
      <c r="A44" s="226">
        <f t="shared" si="1"/>
        <v>29</v>
      </c>
      <c r="B44" s="298" t="s">
        <v>502</v>
      </c>
      <c r="C44" s="506">
        <f t="shared" si="2"/>
        <v>3.7709700000000002</v>
      </c>
      <c r="D44" s="545"/>
      <c r="E44" s="546">
        <v>3.7709700000000002</v>
      </c>
      <c r="F44" s="524"/>
      <c r="G44" s="523"/>
      <c r="H44" s="524"/>
      <c r="I44" s="523"/>
      <c r="J44" s="524"/>
      <c r="K44" s="525"/>
      <c r="L44" s="502"/>
      <c r="M44" s="518"/>
      <c r="N44" s="537"/>
    </row>
    <row r="45" spans="1:14" ht="15" customHeight="1" x14ac:dyDescent="0.25">
      <c r="A45" s="226">
        <f t="shared" si="1"/>
        <v>30</v>
      </c>
      <c r="B45" s="285" t="s">
        <v>668</v>
      </c>
      <c r="C45" s="228">
        <f t="shared" si="2"/>
        <v>75</v>
      </c>
      <c r="D45" s="451"/>
      <c r="E45" s="453">
        <v>75</v>
      </c>
      <c r="F45" s="547"/>
      <c r="G45" s="523"/>
      <c r="H45" s="548"/>
      <c r="I45" s="523"/>
      <c r="J45" s="524"/>
      <c r="K45" s="525"/>
      <c r="L45" s="502"/>
      <c r="M45" s="518"/>
      <c r="N45" s="537"/>
    </row>
    <row r="46" spans="1:14" ht="15" customHeight="1" x14ac:dyDescent="0.25">
      <c r="A46" s="226">
        <f t="shared" si="1"/>
        <v>31</v>
      </c>
      <c r="B46" s="285" t="s">
        <v>669</v>
      </c>
      <c r="C46" s="228">
        <f t="shared" si="2"/>
        <v>4</v>
      </c>
      <c r="D46" s="451"/>
      <c r="E46" s="453">
        <v>4</v>
      </c>
      <c r="F46" s="549"/>
      <c r="G46" s="523"/>
      <c r="H46" s="550"/>
      <c r="I46" s="523"/>
      <c r="J46" s="524"/>
      <c r="K46" s="525"/>
      <c r="L46" s="502"/>
      <c r="M46" s="518"/>
      <c r="N46" s="537"/>
    </row>
    <row r="47" spans="1:14" ht="15" customHeight="1" x14ac:dyDescent="0.25">
      <c r="A47" s="294">
        <f t="shared" si="1"/>
        <v>32</v>
      </c>
      <c r="B47" s="240" t="s">
        <v>1</v>
      </c>
      <c r="C47" s="228">
        <f t="shared" si="2"/>
        <v>1465.4619999999998</v>
      </c>
      <c r="D47" s="521">
        <f t="shared" ref="D47:D61" si="4">F47+H47+J47+L47</f>
        <v>1299.0899999999999</v>
      </c>
      <c r="E47" s="528">
        <f>63.932+70+9.83</f>
        <v>143.76200000000003</v>
      </c>
      <c r="F47" s="22">
        <v>62.518999999999998</v>
      </c>
      <c r="G47" s="528">
        <f>1234.6+72+15.1</f>
        <v>1321.6999999999998</v>
      </c>
      <c r="H47" s="22">
        <f>1150.7-0.2+70.971+15.1</f>
        <v>1236.5709999999999</v>
      </c>
      <c r="I47" s="528"/>
      <c r="J47" s="522"/>
      <c r="K47" s="551"/>
      <c r="L47" s="521"/>
      <c r="M47" s="518"/>
      <c r="N47" s="537"/>
    </row>
    <row r="48" spans="1:14" ht="15" customHeight="1" x14ac:dyDescent="0.25">
      <c r="A48" s="294">
        <f t="shared" si="1"/>
        <v>33</v>
      </c>
      <c r="B48" s="240" t="s">
        <v>7</v>
      </c>
      <c r="C48" s="228">
        <f t="shared" si="2"/>
        <v>22.103999999999999</v>
      </c>
      <c r="D48" s="521"/>
      <c r="E48" s="528">
        <f>23.404-2</f>
        <v>21.404</v>
      </c>
      <c r="F48" s="522"/>
      <c r="G48" s="528">
        <v>0.5</v>
      </c>
      <c r="H48" s="522"/>
      <c r="I48" s="528"/>
      <c r="J48" s="522"/>
      <c r="K48" s="551">
        <v>0.2</v>
      </c>
      <c r="L48" s="521"/>
      <c r="M48" s="518"/>
      <c r="N48" s="537"/>
    </row>
    <row r="49" spans="1:15" ht="15" customHeight="1" x14ac:dyDescent="0.25">
      <c r="A49" s="294">
        <f t="shared" si="1"/>
        <v>34</v>
      </c>
      <c r="B49" s="240" t="s">
        <v>8</v>
      </c>
      <c r="C49" s="228">
        <f t="shared" si="2"/>
        <v>16.762999999999998</v>
      </c>
      <c r="D49" s="521"/>
      <c r="E49" s="528">
        <v>12.763</v>
      </c>
      <c r="F49" s="522"/>
      <c r="G49" s="528">
        <v>0.5</v>
      </c>
      <c r="H49" s="522"/>
      <c r="I49" s="528"/>
      <c r="J49" s="522"/>
      <c r="K49" s="551">
        <v>3.5</v>
      </c>
      <c r="L49" s="521"/>
      <c r="M49" s="518"/>
      <c r="N49" s="537"/>
      <c r="O49" s="206"/>
    </row>
    <row r="50" spans="1:15" ht="15" customHeight="1" x14ac:dyDescent="0.25">
      <c r="A50" s="294">
        <f t="shared" si="1"/>
        <v>35</v>
      </c>
      <c r="B50" s="240" t="s">
        <v>9</v>
      </c>
      <c r="C50" s="228">
        <f t="shared" si="2"/>
        <v>15.785</v>
      </c>
      <c r="D50" s="521"/>
      <c r="E50" s="528">
        <v>14.285</v>
      </c>
      <c r="F50" s="522"/>
      <c r="G50" s="528">
        <v>0.5</v>
      </c>
      <c r="H50" s="522"/>
      <c r="I50" s="528"/>
      <c r="J50" s="522"/>
      <c r="K50" s="551">
        <v>1</v>
      </c>
      <c r="L50" s="521"/>
      <c r="M50" s="518"/>
      <c r="N50" s="537"/>
      <c r="O50" s="176"/>
    </row>
    <row r="51" spans="1:15" ht="15" customHeight="1" x14ac:dyDescent="0.25">
      <c r="A51" s="294">
        <f t="shared" si="1"/>
        <v>36</v>
      </c>
      <c r="B51" s="240" t="s">
        <v>10</v>
      </c>
      <c r="C51" s="228">
        <f t="shared" si="2"/>
        <v>10.249000000000001</v>
      </c>
      <c r="D51" s="521"/>
      <c r="E51" s="528">
        <f>8.249+2</f>
        <v>10.249000000000001</v>
      </c>
      <c r="F51" s="522"/>
      <c r="G51" s="528"/>
      <c r="H51" s="522"/>
      <c r="I51" s="528"/>
      <c r="J51" s="522"/>
      <c r="K51" s="551"/>
      <c r="L51" s="521"/>
      <c r="M51" s="518"/>
      <c r="N51" s="537"/>
    </row>
    <row r="52" spans="1:15" ht="15" customHeight="1" x14ac:dyDescent="0.25">
      <c r="A52" s="294">
        <f t="shared" si="1"/>
        <v>37</v>
      </c>
      <c r="B52" s="240" t="s">
        <v>11</v>
      </c>
      <c r="C52" s="228">
        <f t="shared" si="2"/>
        <v>15.815000000000001</v>
      </c>
      <c r="D52" s="521"/>
      <c r="E52" s="528">
        <v>12.695</v>
      </c>
      <c r="F52" s="522"/>
      <c r="G52" s="528"/>
      <c r="H52" s="522"/>
      <c r="I52" s="528"/>
      <c r="J52" s="522"/>
      <c r="K52" s="551">
        <v>3.12</v>
      </c>
      <c r="L52" s="521"/>
      <c r="M52" s="518"/>
      <c r="N52" s="537"/>
    </row>
    <row r="53" spans="1:15" ht="15" customHeight="1" x14ac:dyDescent="0.25">
      <c r="A53" s="294">
        <f t="shared" si="1"/>
        <v>38</v>
      </c>
      <c r="B53" s="240" t="s">
        <v>12</v>
      </c>
      <c r="C53" s="228">
        <f t="shared" si="2"/>
        <v>12.451000000000001</v>
      </c>
      <c r="D53" s="521"/>
      <c r="E53" s="528">
        <v>11.851000000000001</v>
      </c>
      <c r="F53" s="522"/>
      <c r="G53" s="528"/>
      <c r="H53" s="522"/>
      <c r="I53" s="528"/>
      <c r="J53" s="522"/>
      <c r="K53" s="551">
        <v>0.6</v>
      </c>
      <c r="L53" s="521"/>
      <c r="M53" s="518"/>
      <c r="N53" s="537"/>
    </row>
    <row r="54" spans="1:15" ht="15" customHeight="1" x14ac:dyDescent="0.25">
      <c r="A54" s="294">
        <f t="shared" si="1"/>
        <v>39</v>
      </c>
      <c r="B54" s="240" t="s">
        <v>13</v>
      </c>
      <c r="C54" s="228">
        <f t="shared" si="2"/>
        <v>8.0920000000000005</v>
      </c>
      <c r="D54" s="521"/>
      <c r="E54" s="528">
        <f>14.092-7</f>
        <v>7.0920000000000005</v>
      </c>
      <c r="F54" s="522"/>
      <c r="G54" s="528">
        <v>0.5</v>
      </c>
      <c r="H54" s="522"/>
      <c r="I54" s="528"/>
      <c r="J54" s="522"/>
      <c r="K54" s="551">
        <v>0.5</v>
      </c>
      <c r="L54" s="521"/>
      <c r="M54" s="518"/>
      <c r="N54" s="537"/>
    </row>
    <row r="55" spans="1:15" ht="15" customHeight="1" x14ac:dyDescent="0.25">
      <c r="A55" s="294">
        <f t="shared" si="1"/>
        <v>40</v>
      </c>
      <c r="B55" s="240" t="s">
        <v>14</v>
      </c>
      <c r="C55" s="228">
        <f t="shared" si="2"/>
        <v>9.6310000000000002</v>
      </c>
      <c r="D55" s="521"/>
      <c r="E55" s="528">
        <v>9.0790000000000006</v>
      </c>
      <c r="F55" s="522"/>
      <c r="G55" s="528"/>
      <c r="H55" s="522"/>
      <c r="I55" s="528"/>
      <c r="J55" s="522"/>
      <c r="K55" s="551">
        <v>0.55200000000000005</v>
      </c>
      <c r="L55" s="521"/>
      <c r="M55" s="518"/>
      <c r="N55" s="537"/>
    </row>
    <row r="56" spans="1:15" ht="15" customHeight="1" x14ac:dyDescent="0.25">
      <c r="A56" s="294">
        <f t="shared" si="1"/>
        <v>41</v>
      </c>
      <c r="B56" s="240" t="s">
        <v>28</v>
      </c>
      <c r="C56" s="228">
        <f t="shared" si="2"/>
        <v>4.7290000000000001</v>
      </c>
      <c r="D56" s="521"/>
      <c r="E56" s="528">
        <v>3.9289999999999998</v>
      </c>
      <c r="F56" s="522"/>
      <c r="G56" s="528">
        <v>0.5</v>
      </c>
      <c r="H56" s="522"/>
      <c r="I56" s="528"/>
      <c r="J56" s="522"/>
      <c r="K56" s="551">
        <v>0.3</v>
      </c>
      <c r="L56" s="521"/>
      <c r="M56" s="518"/>
      <c r="N56" s="537"/>
    </row>
    <row r="57" spans="1:15" ht="15" customHeight="1" thickBot="1" x14ac:dyDescent="0.3">
      <c r="A57" s="330">
        <f t="shared" si="1"/>
        <v>42</v>
      </c>
      <c r="B57" s="245" t="s">
        <v>16</v>
      </c>
      <c r="C57" s="228">
        <f t="shared" si="2"/>
        <v>11.436999999999999</v>
      </c>
      <c r="D57" s="552"/>
      <c r="E57" s="553">
        <v>9.4689999999999994</v>
      </c>
      <c r="F57" s="554"/>
      <c r="G57" s="555"/>
      <c r="H57" s="556"/>
      <c r="I57" s="557"/>
      <c r="J57" s="558"/>
      <c r="K57" s="559">
        <v>1.968</v>
      </c>
      <c r="L57" s="552"/>
      <c r="M57" s="560"/>
      <c r="N57" s="561"/>
    </row>
    <row r="58" spans="1:15" ht="28.5" customHeight="1" thickBot="1" x14ac:dyDescent="0.3">
      <c r="A58" s="289">
        <f t="shared" si="1"/>
        <v>43</v>
      </c>
      <c r="B58" s="246" t="s">
        <v>131</v>
      </c>
      <c r="C58" s="506">
        <f t="shared" si="2"/>
        <v>21068.756929999996</v>
      </c>
      <c r="D58" s="562">
        <f>F58+H58+J58+L58+N58</f>
        <v>17243.893170000003</v>
      </c>
      <c r="E58" s="563">
        <f>E59+SUM(E74:E111)</f>
        <v>10147.6296</v>
      </c>
      <c r="F58" s="564">
        <f t="shared" ref="F58:J58" si="5">F59+SUM(F74:F111)</f>
        <v>7717.6341700000012</v>
      </c>
      <c r="G58" s="565">
        <f t="shared" si="5"/>
        <v>360.17599999999999</v>
      </c>
      <c r="H58" s="566">
        <f>H59+SUM(H74:H111)</f>
        <v>177.96481</v>
      </c>
      <c r="I58" s="567">
        <f t="shared" si="5"/>
        <v>9682.0999999999985</v>
      </c>
      <c r="J58" s="568">
        <f t="shared" si="5"/>
        <v>9327.3993500000015</v>
      </c>
      <c r="K58" s="569">
        <f>SUM(K74:K111)</f>
        <v>675.93799999999987</v>
      </c>
      <c r="L58" s="570">
        <f>SUM(L74:L111)</f>
        <v>18.608000000000001</v>
      </c>
      <c r="M58" s="570">
        <f t="shared" ref="M58:N58" si="6">SUM(M74:M111)</f>
        <v>202.91332999999997</v>
      </c>
      <c r="N58" s="570">
        <f t="shared" si="6"/>
        <v>2.2868400000000002</v>
      </c>
    </row>
    <row r="59" spans="1:15" ht="15" customHeight="1" x14ac:dyDescent="0.25">
      <c r="A59" s="294">
        <f t="shared" si="1"/>
        <v>44</v>
      </c>
      <c r="B59" s="247" t="s">
        <v>262</v>
      </c>
      <c r="C59" s="506">
        <f t="shared" si="2"/>
        <v>328.19060000000002</v>
      </c>
      <c r="D59" s="571">
        <f t="shared" si="4"/>
        <v>34.512830000000001</v>
      </c>
      <c r="E59" s="572">
        <f>SUM(E60:E73)</f>
        <v>197.19059999999999</v>
      </c>
      <c r="F59" s="572">
        <f>SUM(F60:F73)</f>
        <v>5.8070199999999996</v>
      </c>
      <c r="G59" s="573">
        <f>SUM(G60:G72)</f>
        <v>131</v>
      </c>
      <c r="H59" s="571">
        <f>SUM(H60:H72)</f>
        <v>28.70581</v>
      </c>
      <c r="I59" s="574"/>
      <c r="J59" s="575"/>
      <c r="K59" s="576"/>
      <c r="L59" s="577"/>
      <c r="M59" s="578"/>
      <c r="N59" s="579"/>
    </row>
    <row r="60" spans="1:15" ht="15" customHeight="1" x14ac:dyDescent="0.25">
      <c r="A60" s="226">
        <f t="shared" si="1"/>
        <v>45</v>
      </c>
      <c r="B60" s="302" t="s">
        <v>242</v>
      </c>
      <c r="C60" s="228">
        <f t="shared" si="2"/>
        <v>0</v>
      </c>
      <c r="D60" s="524">
        <f t="shared" si="4"/>
        <v>0</v>
      </c>
      <c r="E60" s="525"/>
      <c r="F60" s="502"/>
      <c r="G60" s="523"/>
      <c r="H60" s="524"/>
      <c r="I60" s="525"/>
      <c r="J60" s="502"/>
      <c r="K60" s="523"/>
      <c r="L60" s="524"/>
      <c r="M60" s="518"/>
      <c r="N60" s="537"/>
    </row>
    <row r="61" spans="1:15" ht="15" customHeight="1" x14ac:dyDescent="0.25">
      <c r="A61" s="226">
        <f t="shared" si="1"/>
        <v>46</v>
      </c>
      <c r="B61" s="303" t="s">
        <v>80</v>
      </c>
      <c r="C61" s="506">
        <f t="shared" si="2"/>
        <v>159.79249999999999</v>
      </c>
      <c r="D61" s="580">
        <f t="shared" si="4"/>
        <v>34.512830000000001</v>
      </c>
      <c r="E61" s="581">
        <v>28.7925</v>
      </c>
      <c r="F61" s="582">
        <f>5.80702</f>
        <v>5.8070199999999996</v>
      </c>
      <c r="G61" s="523">
        <v>131</v>
      </c>
      <c r="H61" s="580">
        <f>30.048-1.33222-0.00997</f>
        <v>28.70581</v>
      </c>
      <c r="I61" s="525"/>
      <c r="J61" s="502"/>
      <c r="K61" s="523"/>
      <c r="L61" s="524"/>
      <c r="M61" s="518"/>
      <c r="N61" s="537"/>
    </row>
    <row r="62" spans="1:15" ht="15" customHeight="1" x14ac:dyDescent="0.25">
      <c r="A62" s="226">
        <f t="shared" si="1"/>
        <v>47</v>
      </c>
      <c r="B62" s="303" t="s">
        <v>81</v>
      </c>
      <c r="C62" s="228">
        <f t="shared" si="2"/>
        <v>1.9999999999999996</v>
      </c>
      <c r="D62" s="524"/>
      <c r="E62" s="525">
        <f>5.64-3.64</f>
        <v>1.9999999999999996</v>
      </c>
      <c r="F62" s="502"/>
      <c r="G62" s="523"/>
      <c r="H62" s="524"/>
      <c r="I62" s="525"/>
      <c r="J62" s="502"/>
      <c r="K62" s="523"/>
      <c r="L62" s="524"/>
      <c r="M62" s="518"/>
      <c r="N62" s="537"/>
    </row>
    <row r="63" spans="1:15" ht="15" customHeight="1" x14ac:dyDescent="0.25">
      <c r="A63" s="226">
        <f t="shared" si="1"/>
        <v>48</v>
      </c>
      <c r="B63" s="303" t="s">
        <v>84</v>
      </c>
      <c r="C63" s="228">
        <f t="shared" si="2"/>
        <v>3.3</v>
      </c>
      <c r="D63" s="524"/>
      <c r="E63" s="525">
        <v>3.3</v>
      </c>
      <c r="F63" s="502"/>
      <c r="G63" s="523"/>
      <c r="H63" s="524"/>
      <c r="I63" s="525"/>
      <c r="J63" s="502"/>
      <c r="K63" s="523"/>
      <c r="L63" s="524"/>
      <c r="M63" s="518"/>
      <c r="N63" s="537"/>
    </row>
    <row r="64" spans="1:15" ht="15" customHeight="1" x14ac:dyDescent="0.25">
      <c r="A64" s="226">
        <f t="shared" si="1"/>
        <v>49</v>
      </c>
      <c r="B64" s="303" t="s">
        <v>273</v>
      </c>
      <c r="C64" s="228">
        <f t="shared" si="2"/>
        <v>4.5</v>
      </c>
      <c r="D64" s="524"/>
      <c r="E64" s="525">
        <f>5-0.5</f>
        <v>4.5</v>
      </c>
      <c r="F64" s="502"/>
      <c r="G64" s="523"/>
      <c r="H64" s="524"/>
      <c r="I64" s="525"/>
      <c r="J64" s="502"/>
      <c r="K64" s="523"/>
      <c r="L64" s="524"/>
      <c r="M64" s="518"/>
      <c r="N64" s="537"/>
    </row>
    <row r="65" spans="1:14" ht="15" customHeight="1" x14ac:dyDescent="0.25">
      <c r="A65" s="226">
        <f t="shared" si="1"/>
        <v>50</v>
      </c>
      <c r="B65" s="302" t="s">
        <v>83</v>
      </c>
      <c r="C65" s="228">
        <f t="shared" si="2"/>
        <v>7.1620000000000008</v>
      </c>
      <c r="D65" s="524"/>
      <c r="E65" s="583">
        <f>11.089-8.827+4.9</f>
        <v>7.1620000000000008</v>
      </c>
      <c r="F65" s="502"/>
      <c r="G65" s="523"/>
      <c r="H65" s="524"/>
      <c r="I65" s="525"/>
      <c r="J65" s="502"/>
      <c r="K65" s="523"/>
      <c r="L65" s="524"/>
      <c r="M65" s="518"/>
      <c r="N65" s="537"/>
    </row>
    <row r="66" spans="1:14" ht="25.5" customHeight="1" x14ac:dyDescent="0.25">
      <c r="A66" s="226">
        <f t="shared" si="1"/>
        <v>51</v>
      </c>
      <c r="B66" s="255" t="s">
        <v>274</v>
      </c>
      <c r="C66" s="228">
        <f t="shared" si="2"/>
        <v>25</v>
      </c>
      <c r="D66" s="524"/>
      <c r="E66" s="583">
        <v>25</v>
      </c>
      <c r="F66" s="502"/>
      <c r="G66" s="523"/>
      <c r="H66" s="524"/>
      <c r="I66" s="525"/>
      <c r="J66" s="502"/>
      <c r="K66" s="523"/>
      <c r="L66" s="524"/>
      <c r="M66" s="518"/>
      <c r="N66" s="537"/>
    </row>
    <row r="67" spans="1:14" ht="15" customHeight="1" x14ac:dyDescent="0.25">
      <c r="A67" s="226">
        <f t="shared" si="1"/>
        <v>52</v>
      </c>
      <c r="B67" s="255" t="s">
        <v>227</v>
      </c>
      <c r="C67" s="228">
        <f t="shared" si="2"/>
        <v>61.670999999999999</v>
      </c>
      <c r="D67" s="524"/>
      <c r="E67" s="583">
        <f>52.9+3.64+5.131</f>
        <v>61.670999999999999</v>
      </c>
      <c r="F67" s="502"/>
      <c r="G67" s="523"/>
      <c r="H67" s="524"/>
      <c r="I67" s="525"/>
      <c r="J67" s="502"/>
      <c r="K67" s="523"/>
      <c r="L67" s="524"/>
      <c r="M67" s="518"/>
      <c r="N67" s="537"/>
    </row>
    <row r="68" spans="1:14" ht="15" customHeight="1" x14ac:dyDescent="0.25">
      <c r="A68" s="226">
        <f t="shared" si="1"/>
        <v>53</v>
      </c>
      <c r="B68" s="255" t="s">
        <v>275</v>
      </c>
      <c r="C68" s="228">
        <f t="shared" si="2"/>
        <v>30</v>
      </c>
      <c r="D68" s="524"/>
      <c r="E68" s="583">
        <v>30</v>
      </c>
      <c r="F68" s="502"/>
      <c r="G68" s="523"/>
      <c r="H68" s="524"/>
      <c r="I68" s="525"/>
      <c r="J68" s="502"/>
      <c r="K68" s="523"/>
      <c r="L68" s="524"/>
      <c r="M68" s="518"/>
      <c r="N68" s="537"/>
    </row>
    <row r="69" spans="1:14" ht="27" customHeight="1" x14ac:dyDescent="0.25">
      <c r="A69" s="226">
        <f t="shared" si="1"/>
        <v>54</v>
      </c>
      <c r="B69" s="304" t="s">
        <v>276</v>
      </c>
      <c r="C69" s="228">
        <f t="shared" si="2"/>
        <v>20</v>
      </c>
      <c r="D69" s="524"/>
      <c r="E69" s="584">
        <v>20</v>
      </c>
      <c r="F69" s="585"/>
      <c r="G69" s="523"/>
      <c r="H69" s="524"/>
      <c r="I69" s="525"/>
      <c r="J69" s="502"/>
      <c r="K69" s="523"/>
      <c r="L69" s="524"/>
      <c r="M69" s="518"/>
      <c r="N69" s="537"/>
    </row>
    <row r="70" spans="1:14" ht="15" customHeight="1" x14ac:dyDescent="0.25">
      <c r="A70" s="226">
        <f t="shared" si="1"/>
        <v>55</v>
      </c>
      <c r="B70" s="255" t="s">
        <v>288</v>
      </c>
      <c r="C70" s="228">
        <f t="shared" si="2"/>
        <v>6.5</v>
      </c>
      <c r="D70" s="524"/>
      <c r="E70" s="583">
        <v>6.5</v>
      </c>
      <c r="F70" s="586"/>
      <c r="G70" s="523"/>
      <c r="H70" s="524"/>
      <c r="I70" s="525"/>
      <c r="J70" s="502"/>
      <c r="K70" s="523"/>
      <c r="L70" s="524"/>
      <c r="M70" s="518"/>
      <c r="N70" s="537"/>
    </row>
    <row r="71" spans="1:14" ht="15" customHeight="1" x14ac:dyDescent="0.25">
      <c r="A71" s="226">
        <f t="shared" si="1"/>
        <v>56</v>
      </c>
      <c r="B71" s="305" t="s">
        <v>291</v>
      </c>
      <c r="C71" s="228">
        <f t="shared" si="2"/>
        <v>7</v>
      </c>
      <c r="D71" s="561"/>
      <c r="E71" s="587">
        <v>7</v>
      </c>
      <c r="F71" s="588"/>
      <c r="G71" s="539"/>
      <c r="H71" s="589"/>
      <c r="I71" s="530"/>
      <c r="J71" s="538"/>
      <c r="K71" s="539"/>
      <c r="L71" s="589"/>
      <c r="M71" s="518"/>
      <c r="N71" s="537"/>
    </row>
    <row r="72" spans="1:14" ht="38.25" customHeight="1" x14ac:dyDescent="0.25">
      <c r="A72" s="226">
        <f t="shared" si="1"/>
        <v>57</v>
      </c>
      <c r="B72" s="255" t="s">
        <v>509</v>
      </c>
      <c r="C72" s="228">
        <f t="shared" si="2"/>
        <v>0</v>
      </c>
      <c r="D72" s="537"/>
      <c r="E72" s="583"/>
      <c r="F72" s="517"/>
      <c r="G72" s="518">
        <v>0</v>
      </c>
      <c r="H72" s="537"/>
      <c r="I72" s="583"/>
      <c r="J72" s="517"/>
      <c r="K72" s="518"/>
      <c r="L72" s="537"/>
      <c r="M72" s="518"/>
      <c r="N72" s="537"/>
    </row>
    <row r="73" spans="1:14" ht="27.75" customHeight="1" x14ac:dyDescent="0.25">
      <c r="A73" s="226">
        <f t="shared" si="1"/>
        <v>58</v>
      </c>
      <c r="B73" s="306" t="s">
        <v>412</v>
      </c>
      <c r="C73" s="228">
        <f t="shared" si="2"/>
        <v>1.2650999999999999</v>
      </c>
      <c r="D73" s="537"/>
      <c r="E73" s="590">
        <v>1.2650999999999999</v>
      </c>
      <c r="F73" s="517"/>
      <c r="G73" s="578"/>
      <c r="H73" s="579"/>
      <c r="I73" s="591"/>
      <c r="J73" s="592"/>
      <c r="K73" s="518"/>
      <c r="L73" s="593"/>
      <c r="M73" s="518"/>
      <c r="N73" s="537"/>
    </row>
    <row r="74" spans="1:14" ht="15" customHeight="1" x14ac:dyDescent="0.25">
      <c r="A74" s="294">
        <f t="shared" si="1"/>
        <v>59</v>
      </c>
      <c r="B74" s="247" t="s">
        <v>267</v>
      </c>
      <c r="C74" s="228">
        <f t="shared" si="2"/>
        <v>703.62200000000007</v>
      </c>
      <c r="D74" s="507">
        <f t="shared" ref="D74:D86" si="7">+F74+H74+J74+L74</f>
        <v>592.851</v>
      </c>
      <c r="E74" s="76">
        <f>422.711+12.669+2</f>
        <v>437.38</v>
      </c>
      <c r="F74" s="75">
        <f>369.115+12.488-1-6.45</f>
        <v>374.15300000000002</v>
      </c>
      <c r="G74" s="76">
        <f>2.816+6.628+0.712</f>
        <v>10.155999999999999</v>
      </c>
      <c r="H74" s="77">
        <f>0.41+3.844+0.11</f>
        <v>4.3639999999999999</v>
      </c>
      <c r="I74" s="69">
        <f>213.352+9.234</f>
        <v>222.58600000000001</v>
      </c>
      <c r="J74" s="77">
        <f>205.286+9.048</f>
        <v>214.334</v>
      </c>
      <c r="K74" s="228">
        <f>29+4.5</f>
        <v>33.5</v>
      </c>
      <c r="L74" s="507"/>
      <c r="M74" s="503"/>
      <c r="N74" s="504"/>
    </row>
    <row r="75" spans="1:14" ht="15" customHeight="1" x14ac:dyDescent="0.25">
      <c r="A75" s="294">
        <f t="shared" si="1"/>
        <v>60</v>
      </c>
      <c r="B75" s="249" t="s">
        <v>268</v>
      </c>
      <c r="C75" s="228">
        <f t="shared" si="2"/>
        <v>1137.6000000000001</v>
      </c>
      <c r="D75" s="522">
        <f t="shared" si="7"/>
        <v>955.81100000000004</v>
      </c>
      <c r="E75" s="21">
        <f>599.533+41.123+13.544+6.932</f>
        <v>661.13200000000006</v>
      </c>
      <c r="F75" s="540">
        <f>507.668+40.535+13.35-1.3</f>
        <v>560.25300000000004</v>
      </c>
      <c r="G75" s="526">
        <f>3.056+3.534+0.979</f>
        <v>7.569</v>
      </c>
      <c r="H75" s="594">
        <f>0.942+2.05+0.152</f>
        <v>3.1440000000000001</v>
      </c>
      <c r="I75" s="531">
        <f>399.195+7.676</f>
        <v>406.87099999999998</v>
      </c>
      <c r="J75" s="22">
        <f>385.022+7.392</f>
        <v>392.41399999999999</v>
      </c>
      <c r="K75" s="528">
        <f>55.028+7</f>
        <v>62.027999999999999</v>
      </c>
      <c r="L75" s="522"/>
      <c r="M75" s="503"/>
      <c r="N75" s="504"/>
    </row>
    <row r="76" spans="1:14" ht="15" customHeight="1" x14ac:dyDescent="0.25">
      <c r="A76" s="294">
        <f t="shared" si="1"/>
        <v>61</v>
      </c>
      <c r="B76" s="249" t="s">
        <v>269</v>
      </c>
      <c r="C76" s="228">
        <f t="shared" si="2"/>
        <v>503.58200000000005</v>
      </c>
      <c r="D76" s="522">
        <f t="shared" si="7"/>
        <v>410.07499999999999</v>
      </c>
      <c r="E76" s="551">
        <f>307.492+0.639-5</f>
        <v>303.13100000000003</v>
      </c>
      <c r="F76" s="540">
        <f>236.781+0.63-0.5</f>
        <v>236.911</v>
      </c>
      <c r="G76" s="526">
        <f>7.774+3.535+0.089</f>
        <v>11.398000000000001</v>
      </c>
      <c r="H76" s="594">
        <f>4.202+2.02+0.013</f>
        <v>6.2349999999999994</v>
      </c>
      <c r="I76" s="531">
        <f>167.816+4.717</f>
        <v>172.53300000000002</v>
      </c>
      <c r="J76" s="22">
        <f>162.307+4.622</f>
        <v>166.92899999999997</v>
      </c>
      <c r="K76" s="528">
        <f>15.52+1</f>
        <v>16.52</v>
      </c>
      <c r="L76" s="522"/>
      <c r="M76" s="503"/>
      <c r="N76" s="504"/>
    </row>
    <row r="77" spans="1:14" ht="15" customHeight="1" x14ac:dyDescent="0.25">
      <c r="A77" s="294">
        <f t="shared" si="1"/>
        <v>62</v>
      </c>
      <c r="B77" s="249" t="s">
        <v>270</v>
      </c>
      <c r="C77" s="228">
        <f t="shared" si="2"/>
        <v>864.54632000000004</v>
      </c>
      <c r="D77" s="522">
        <f t="shared" si="7"/>
        <v>710.87999999999988</v>
      </c>
      <c r="E77" s="551">
        <f>455.21-12.394+15-5</f>
        <v>452.81599999999997</v>
      </c>
      <c r="F77" s="540">
        <f>385.652-12.217-1.05-10</f>
        <v>362.38499999999999</v>
      </c>
      <c r="G77" s="526">
        <f>0.704+0.356</f>
        <v>1.06</v>
      </c>
      <c r="H77" s="594">
        <f>0.102+0.055</f>
        <v>0.157</v>
      </c>
      <c r="I77" s="531">
        <f>345.285+15.904</f>
        <v>361.18900000000002</v>
      </c>
      <c r="J77" s="540">
        <f>332.381+15.957</f>
        <v>348.33799999999997</v>
      </c>
      <c r="K77" s="528">
        <v>48</v>
      </c>
      <c r="L77" s="522"/>
      <c r="M77" s="503">
        <v>1.48132</v>
      </c>
      <c r="N77" s="504"/>
    </row>
    <row r="78" spans="1:14" ht="15" customHeight="1" x14ac:dyDescent="0.25">
      <c r="A78" s="294">
        <f t="shared" si="1"/>
        <v>63</v>
      </c>
      <c r="B78" s="249" t="s">
        <v>271</v>
      </c>
      <c r="C78" s="228">
        <f t="shared" si="2"/>
        <v>429.82400000000001</v>
      </c>
      <c r="D78" s="522">
        <f t="shared" si="7"/>
        <v>356.48299999999995</v>
      </c>
      <c r="E78" s="551">
        <v>217.37100000000001</v>
      </c>
      <c r="F78" s="540">
        <f>163.196-0.8</f>
        <v>162.39599999999999</v>
      </c>
      <c r="G78" s="528"/>
      <c r="H78" s="522"/>
      <c r="I78" s="551">
        <f>203.296-4.043</f>
        <v>199.25299999999999</v>
      </c>
      <c r="J78" s="521">
        <f>198.045-3.958</f>
        <v>194.08699999999999</v>
      </c>
      <c r="K78" s="528">
        <v>13.2</v>
      </c>
      <c r="L78" s="522"/>
      <c r="M78" s="503"/>
      <c r="N78" s="504"/>
    </row>
    <row r="79" spans="1:14" ht="15" customHeight="1" x14ac:dyDescent="0.25">
      <c r="A79" s="294">
        <f t="shared" si="1"/>
        <v>64</v>
      </c>
      <c r="B79" s="249" t="s">
        <v>272</v>
      </c>
      <c r="C79" s="506">
        <f t="shared" si="2"/>
        <v>1125.92992</v>
      </c>
      <c r="D79" s="596">
        <f>+F79+H79+J79+L79+N79</f>
        <v>945.20466999999996</v>
      </c>
      <c r="E79" s="551">
        <f>661.687-1.635-19-18.9</f>
        <v>622.15200000000004</v>
      </c>
      <c r="F79" s="521">
        <f>564.966-1.612-19-14.88917</f>
        <v>529.46483000000001</v>
      </c>
      <c r="G79" s="523"/>
      <c r="H79" s="524"/>
      <c r="I79" s="551">
        <f>423.622+2.997</f>
        <v>426.61900000000003</v>
      </c>
      <c r="J79" s="521">
        <f>410.417+3.036</f>
        <v>413.45299999999997</v>
      </c>
      <c r="K79" s="528">
        <v>63.6</v>
      </c>
      <c r="L79" s="522"/>
      <c r="M79" s="503">
        <v>13.558920000000001</v>
      </c>
      <c r="N79" s="504">
        <v>2.2868400000000002</v>
      </c>
    </row>
    <row r="80" spans="1:14" ht="15" customHeight="1" x14ac:dyDescent="0.25">
      <c r="A80" s="294">
        <f t="shared" si="1"/>
        <v>65</v>
      </c>
      <c r="B80" s="249" t="s">
        <v>18</v>
      </c>
      <c r="C80" s="506">
        <f t="shared" si="2"/>
        <v>1265.3561399999999</v>
      </c>
      <c r="D80" s="596">
        <f t="shared" si="7"/>
        <v>1103.646</v>
      </c>
      <c r="E80" s="21">
        <f>322.269-0.978+0.5+9.5</f>
        <v>331.291</v>
      </c>
      <c r="F80" s="521">
        <f>251.923-0.964-0.5</f>
        <v>250.459</v>
      </c>
      <c r="G80" s="528"/>
      <c r="H80" s="522"/>
      <c r="I80" s="531">
        <f>865.056+0.724+19.37</f>
        <v>885.15000000000009</v>
      </c>
      <c r="J80" s="540">
        <f>834.079+0.714+19.394-1</f>
        <v>853.18700000000001</v>
      </c>
      <c r="K80" s="528">
        <f>15.3+6.1+2.2</f>
        <v>23.599999999999998</v>
      </c>
      <c r="L80" s="522"/>
      <c r="M80" s="503">
        <v>25.31514</v>
      </c>
      <c r="N80" s="504"/>
    </row>
    <row r="81" spans="1:14" ht="15" customHeight="1" x14ac:dyDescent="0.25">
      <c r="A81" s="294">
        <f t="shared" si="1"/>
        <v>66</v>
      </c>
      <c r="B81" s="249" t="s">
        <v>243</v>
      </c>
      <c r="C81" s="228">
        <f t="shared" si="2"/>
        <v>164.94800000000001</v>
      </c>
      <c r="D81" s="522">
        <f t="shared" si="7"/>
        <v>147.774</v>
      </c>
      <c r="E81" s="551">
        <f>67.627+0.462+0.643-6.2</f>
        <v>62.531999999999996</v>
      </c>
      <c r="F81" s="521">
        <f>62.917+0.455-6.2</f>
        <v>57.171999999999997</v>
      </c>
      <c r="G81" s="528">
        <v>1.7669999999999999</v>
      </c>
      <c r="H81" s="522">
        <v>1.0249999999999999</v>
      </c>
      <c r="I81" s="551">
        <f>88.461+3.788</f>
        <v>92.248999999999995</v>
      </c>
      <c r="J81" s="521">
        <f>85.911+3.666</f>
        <v>89.576999999999998</v>
      </c>
      <c r="K81" s="528">
        <f>5.4+3</f>
        <v>8.4</v>
      </c>
      <c r="L81" s="522"/>
      <c r="M81" s="503"/>
      <c r="N81" s="504"/>
    </row>
    <row r="82" spans="1:14" ht="15" customHeight="1" x14ac:dyDescent="0.25">
      <c r="A82" s="294">
        <f t="shared" ref="A82:A145" si="8">A81+1</f>
        <v>67</v>
      </c>
      <c r="B82" s="249" t="s">
        <v>277</v>
      </c>
      <c r="C82" s="506">
        <f t="shared" ref="C82:C145" si="9">E82+G82+I82+K82+M82</f>
        <v>2430.1123200000002</v>
      </c>
      <c r="D82" s="522">
        <f t="shared" si="7"/>
        <v>2013.2977100000001</v>
      </c>
      <c r="E82" s="21">
        <f>833.715+5.647+35+32.64</f>
        <v>907.00200000000007</v>
      </c>
      <c r="F82" s="22">
        <f>644.681-0.2+5.566-0.52</f>
        <v>649.52700000000004</v>
      </c>
      <c r="G82" s="528"/>
      <c r="H82" s="522"/>
      <c r="I82" s="531">
        <f>1389.824+3.601+16.912</f>
        <v>1410.3370000000002</v>
      </c>
      <c r="J82" s="602">
        <f>1344.191+3.55+16.537-0.50729</f>
        <v>1363.77071</v>
      </c>
      <c r="K82" s="528">
        <f>74+5</f>
        <v>79</v>
      </c>
      <c r="L82" s="522"/>
      <c r="M82" s="503">
        <v>33.773319999999998</v>
      </c>
      <c r="N82" s="504"/>
    </row>
    <row r="83" spans="1:14" ht="15" customHeight="1" x14ac:dyDescent="0.25">
      <c r="A83" s="294">
        <f t="shared" si="8"/>
        <v>68</v>
      </c>
      <c r="B83" s="250" t="s">
        <v>284</v>
      </c>
      <c r="C83" s="232">
        <f t="shared" si="9"/>
        <v>271.06799999999998</v>
      </c>
      <c r="D83" s="522">
        <f t="shared" si="7"/>
        <v>257.42606000000001</v>
      </c>
      <c r="E83" s="551">
        <v>14.182</v>
      </c>
      <c r="F83" s="521">
        <v>13.978999999999999</v>
      </c>
      <c r="G83" s="528"/>
      <c r="H83" s="522"/>
      <c r="I83" s="551">
        <f>262.171-5.285</f>
        <v>256.88599999999997</v>
      </c>
      <c r="J83" s="595">
        <f>253.721-4.8-5.344-0.12994</f>
        <v>243.44705999999999</v>
      </c>
      <c r="K83" s="528"/>
      <c r="L83" s="522"/>
      <c r="M83" s="503"/>
      <c r="N83" s="504"/>
    </row>
    <row r="84" spans="1:14" ht="27.75" customHeight="1" x14ac:dyDescent="0.25">
      <c r="A84" s="294">
        <f t="shared" si="8"/>
        <v>69</v>
      </c>
      <c r="B84" s="250" t="s">
        <v>283</v>
      </c>
      <c r="C84" s="228">
        <f t="shared" si="9"/>
        <v>16.149999999999999</v>
      </c>
      <c r="D84" s="522">
        <f t="shared" si="7"/>
        <v>14.45158</v>
      </c>
      <c r="E84" s="551"/>
      <c r="F84" s="521"/>
      <c r="G84" s="528">
        <v>0.8</v>
      </c>
      <c r="H84" s="522"/>
      <c r="I84" s="551">
        <f>14.812+0.538</f>
        <v>15.35</v>
      </c>
      <c r="J84" s="595">
        <f>14.1+0.547-0.19542</f>
        <v>14.45158</v>
      </c>
      <c r="K84" s="528"/>
      <c r="L84" s="522"/>
      <c r="M84" s="503"/>
      <c r="N84" s="504"/>
    </row>
    <row r="85" spans="1:14" ht="15" customHeight="1" x14ac:dyDescent="0.25">
      <c r="A85" s="294">
        <f t="shared" si="8"/>
        <v>70</v>
      </c>
      <c r="B85" s="249" t="s">
        <v>98</v>
      </c>
      <c r="C85" s="228">
        <f t="shared" si="9"/>
        <v>2090.2648999999997</v>
      </c>
      <c r="D85" s="522">
        <f>+F85+H85+J85+L85</f>
        <v>1822.8910000000001</v>
      </c>
      <c r="E85" s="551">
        <f>605.136+2.582</f>
        <v>607.71799999999996</v>
      </c>
      <c r="F85" s="521">
        <f>449.067-1.2-0.395</f>
        <v>447.47200000000004</v>
      </c>
      <c r="G85" s="526">
        <f>11.16+0.676</f>
        <v>11.836</v>
      </c>
      <c r="H85" s="594">
        <f>10.999+0.666</f>
        <v>11.665000000000001</v>
      </c>
      <c r="I85" s="531">
        <f>1405.815+1.329+14.042</f>
        <v>1421.1859999999999</v>
      </c>
      <c r="J85" s="540">
        <f>1353.099+1.31-5+14.345</f>
        <v>1363.7539999999999</v>
      </c>
      <c r="K85" s="528">
        <f>29+10+4</f>
        <v>43</v>
      </c>
      <c r="L85" s="522"/>
      <c r="M85" s="503">
        <v>6.5248999999999997</v>
      </c>
      <c r="N85" s="504"/>
    </row>
    <row r="86" spans="1:14" ht="15" customHeight="1" x14ac:dyDescent="0.25">
      <c r="A86" s="294">
        <f t="shared" si="8"/>
        <v>71</v>
      </c>
      <c r="B86" s="249" t="s">
        <v>20</v>
      </c>
      <c r="C86" s="228">
        <f t="shared" si="9"/>
        <v>1231.1813699999998</v>
      </c>
      <c r="D86" s="522">
        <f t="shared" si="7"/>
        <v>1029.413</v>
      </c>
      <c r="E86" s="551">
        <f>481.311+3.114</f>
        <v>484.42499999999995</v>
      </c>
      <c r="F86" s="521">
        <f>341.051+3.069-0.5</f>
        <v>343.62</v>
      </c>
      <c r="G86" s="526">
        <v>2.48</v>
      </c>
      <c r="H86" s="594">
        <v>2.444</v>
      </c>
      <c r="I86" s="531">
        <f>697.191+0.477+13.337</f>
        <v>711.005</v>
      </c>
      <c r="J86" s="540">
        <f>673.818+0.47-3.8+13.161-0.3</f>
        <v>683.34900000000005</v>
      </c>
      <c r="K86" s="528">
        <f>20+4+5</f>
        <v>29</v>
      </c>
      <c r="L86" s="522"/>
      <c r="M86" s="503">
        <v>4.2713700000000001</v>
      </c>
      <c r="N86" s="504"/>
    </row>
    <row r="87" spans="1:14" ht="15" customHeight="1" x14ac:dyDescent="0.25">
      <c r="A87" s="294">
        <f t="shared" si="8"/>
        <v>72</v>
      </c>
      <c r="B87" s="249" t="s">
        <v>144</v>
      </c>
      <c r="C87" s="228">
        <f t="shared" si="9"/>
        <v>79.069000000000003</v>
      </c>
      <c r="D87" s="522">
        <f>F87+H87+J87+L87</f>
        <v>69.042000000000016</v>
      </c>
      <c r="E87" s="551">
        <v>69.569000000000003</v>
      </c>
      <c r="F87" s="521">
        <f>67.742-0.6</f>
        <v>67.14200000000001</v>
      </c>
      <c r="G87" s="528"/>
      <c r="H87" s="522"/>
      <c r="I87" s="551"/>
      <c r="J87" s="521"/>
      <c r="K87" s="528">
        <f>6+2.5+1</f>
        <v>9.5</v>
      </c>
      <c r="L87" s="522">
        <f>1.2+0.5+0.2</f>
        <v>1.9</v>
      </c>
      <c r="M87" s="503"/>
      <c r="N87" s="504"/>
    </row>
    <row r="88" spans="1:14" ht="15" customHeight="1" x14ac:dyDescent="0.25">
      <c r="A88" s="294">
        <f t="shared" si="8"/>
        <v>73</v>
      </c>
      <c r="B88" s="249" t="s">
        <v>21</v>
      </c>
      <c r="C88" s="506">
        <f t="shared" si="9"/>
        <v>1270.1576799999998</v>
      </c>
      <c r="D88" s="596">
        <f t="shared" ref="D88:D91" si="10">+F88+H88+J88+L88</f>
        <v>1015.7386700000001</v>
      </c>
      <c r="E88" s="597">
        <f>544.027+30.01444-11.663+4.228+1.5-18.1</f>
        <v>550.00644</v>
      </c>
      <c r="F88" s="602">
        <f>350.897+6.855-5.04-11.496+4.168-0.135</f>
        <v>345.24900000000002</v>
      </c>
      <c r="G88" s="526">
        <v>1.24</v>
      </c>
      <c r="H88" s="594">
        <v>1.222</v>
      </c>
      <c r="I88" s="597">
        <f>661.216+0.867+32.00283</f>
        <v>694.08582999999999</v>
      </c>
      <c r="J88" s="599">
        <f>638.709+0.855+30.77767-1.074</f>
        <v>669.26767000000007</v>
      </c>
      <c r="K88" s="528">
        <f>13.4+5.9</f>
        <v>19.3</v>
      </c>
      <c r="L88" s="522"/>
      <c r="M88" s="503">
        <v>5.5254099999999999</v>
      </c>
      <c r="N88" s="504"/>
    </row>
    <row r="89" spans="1:14" ht="15" customHeight="1" x14ac:dyDescent="0.25">
      <c r="A89" s="294">
        <f t="shared" si="8"/>
        <v>74</v>
      </c>
      <c r="B89" s="249" t="s">
        <v>244</v>
      </c>
      <c r="C89" s="1006">
        <f t="shared" si="9"/>
        <v>371.34973000000002</v>
      </c>
      <c r="D89" s="596">
        <f>+F89+H89+J89+L89</f>
        <v>280.30764999999997</v>
      </c>
      <c r="E89" s="598">
        <f>270.067-81.91444</f>
        <v>188.15255999999999</v>
      </c>
      <c r="F89" s="595">
        <f>181.329-42.54968-25.995</f>
        <v>112.78432000000001</v>
      </c>
      <c r="G89" s="526">
        <v>6.3719999999999999</v>
      </c>
      <c r="H89" s="537"/>
      <c r="I89" s="597">
        <f>258.126-85.90083</f>
        <v>172.22516999999999</v>
      </c>
      <c r="J89" s="599">
        <f>251.285-83.76167</f>
        <v>167.52332999999999</v>
      </c>
      <c r="K89" s="528">
        <v>4.5999999999999996</v>
      </c>
      <c r="L89" s="522"/>
      <c r="M89" s="503"/>
      <c r="N89" s="504"/>
    </row>
    <row r="90" spans="1:14" ht="15" customHeight="1" x14ac:dyDescent="0.25">
      <c r="A90" s="294">
        <f t="shared" si="8"/>
        <v>75</v>
      </c>
      <c r="B90" s="249" t="s">
        <v>145</v>
      </c>
      <c r="C90" s="228">
        <f t="shared" si="9"/>
        <v>323.67900000000003</v>
      </c>
      <c r="D90" s="522">
        <f t="shared" si="10"/>
        <v>250.12700000000001</v>
      </c>
      <c r="E90" s="551">
        <f>208.436-3.511-4</f>
        <v>200.92500000000001</v>
      </c>
      <c r="F90" s="540">
        <f>147.32-3.461-0.314</f>
        <v>143.54499999999999</v>
      </c>
      <c r="G90" s="528"/>
      <c r="H90" s="522"/>
      <c r="I90" s="551">
        <f>116.709-6.655</f>
        <v>110.054</v>
      </c>
      <c r="J90" s="22">
        <f>113.114-6.532</f>
        <v>106.58200000000001</v>
      </c>
      <c r="K90" s="528">
        <v>12.7</v>
      </c>
      <c r="L90" s="522"/>
      <c r="M90" s="503"/>
      <c r="N90" s="504"/>
    </row>
    <row r="91" spans="1:14" ht="15" customHeight="1" x14ac:dyDescent="0.25">
      <c r="A91" s="294">
        <f t="shared" si="8"/>
        <v>76</v>
      </c>
      <c r="B91" s="251" t="s">
        <v>101</v>
      </c>
      <c r="C91" s="228">
        <f t="shared" si="9"/>
        <v>72.515000000000001</v>
      </c>
      <c r="D91" s="522">
        <f t="shared" si="10"/>
        <v>66.60799999999999</v>
      </c>
      <c r="E91" s="551">
        <v>68.215000000000003</v>
      </c>
      <c r="F91" s="540">
        <f>66.204-0.45</f>
        <v>65.753999999999991</v>
      </c>
      <c r="G91" s="528"/>
      <c r="H91" s="522"/>
      <c r="I91" s="551"/>
      <c r="J91" s="521"/>
      <c r="K91" s="528">
        <f>2.2+2.1</f>
        <v>4.3000000000000007</v>
      </c>
      <c r="L91" s="522">
        <f>0.44+0.414</f>
        <v>0.85399999999999998</v>
      </c>
      <c r="M91" s="503"/>
      <c r="N91" s="504"/>
    </row>
    <row r="92" spans="1:14" ht="15" customHeight="1" x14ac:dyDescent="0.25">
      <c r="A92" s="294">
        <f t="shared" si="8"/>
        <v>77</v>
      </c>
      <c r="B92" s="249" t="s">
        <v>22</v>
      </c>
      <c r="C92" s="506">
        <f t="shared" si="9"/>
        <v>1011.93753</v>
      </c>
      <c r="D92" s="522">
        <f>F92+H92+J92+L92</f>
        <v>851.52299999999991</v>
      </c>
      <c r="E92" s="551">
        <f>345.54+2</f>
        <v>347.54</v>
      </c>
      <c r="F92" s="540">
        <f>245.525-1.6-1-1</f>
        <v>241.92500000000001</v>
      </c>
      <c r="G92" s="518"/>
      <c r="H92" s="537"/>
      <c r="I92" s="531">
        <f>613.893+0.835+17.479</f>
        <v>632.20700000000011</v>
      </c>
      <c r="J92" s="22">
        <f>594.864+0.823+17.361-3.45</f>
        <v>609.59799999999996</v>
      </c>
      <c r="K92" s="528">
        <f>18+3+1.5</f>
        <v>22.5</v>
      </c>
      <c r="L92" s="522"/>
      <c r="M92" s="503">
        <v>9.6905300000000008</v>
      </c>
      <c r="N92" s="504"/>
    </row>
    <row r="93" spans="1:14" ht="15" customHeight="1" x14ac:dyDescent="0.25">
      <c r="A93" s="294">
        <f t="shared" si="8"/>
        <v>78</v>
      </c>
      <c r="B93" s="249" t="s">
        <v>245</v>
      </c>
      <c r="C93" s="228">
        <f t="shared" si="9"/>
        <v>353.17700000000002</v>
      </c>
      <c r="D93" s="522">
        <f>+F93+H93+J93+L93</f>
        <v>286.59200000000004</v>
      </c>
      <c r="E93" s="551">
        <f>205.738-9.447-2</f>
        <v>194.291</v>
      </c>
      <c r="F93" s="540">
        <f>166.252-9.312-2-3</f>
        <v>151.94</v>
      </c>
      <c r="G93" s="526">
        <f>9.182+1.767+1.068</f>
        <v>12.016999999999999</v>
      </c>
      <c r="H93" s="594">
        <f>4.408+1.025+0.165</f>
        <v>5.5979999999999999</v>
      </c>
      <c r="I93" s="531">
        <f>127.622+5.827</f>
        <v>133.44900000000001</v>
      </c>
      <c r="J93" s="22">
        <f>123.43+5.824-0.2</f>
        <v>129.05400000000003</v>
      </c>
      <c r="K93" s="528">
        <f>12.82+0.6</f>
        <v>13.42</v>
      </c>
      <c r="L93" s="522"/>
      <c r="M93" s="503"/>
      <c r="N93" s="504"/>
    </row>
    <row r="94" spans="1:14" ht="15" customHeight="1" x14ac:dyDescent="0.25">
      <c r="A94" s="294">
        <f t="shared" si="8"/>
        <v>79</v>
      </c>
      <c r="B94" s="249" t="s">
        <v>147</v>
      </c>
      <c r="C94" s="228">
        <f t="shared" si="9"/>
        <v>57.996000000000002</v>
      </c>
      <c r="D94" s="522">
        <f>F94+H94+J94+L94</f>
        <v>53.957000000000001</v>
      </c>
      <c r="E94" s="551">
        <f>58.854-4.058</f>
        <v>54.795999999999999</v>
      </c>
      <c r="F94" s="540">
        <f>57.319-4</f>
        <v>53.319000000000003</v>
      </c>
      <c r="G94" s="518"/>
      <c r="H94" s="537"/>
      <c r="I94" s="531"/>
      <c r="J94" s="540"/>
      <c r="K94" s="528">
        <f>2.6+0.6</f>
        <v>3.2</v>
      </c>
      <c r="L94" s="522">
        <f>0.52+0.118</f>
        <v>0.63800000000000001</v>
      </c>
      <c r="M94" s="503"/>
      <c r="N94" s="504"/>
    </row>
    <row r="95" spans="1:14" ht="15" customHeight="1" x14ac:dyDescent="0.25">
      <c r="A95" s="294">
        <f t="shared" si="8"/>
        <v>80</v>
      </c>
      <c r="B95" s="249" t="s">
        <v>103</v>
      </c>
      <c r="C95" s="506">
        <f t="shared" si="9"/>
        <v>1274.1773599999997</v>
      </c>
      <c r="D95" s="522">
        <f t="shared" ref="D95:D104" si="11">+F95+H95+J95+L95</f>
        <v>1031.521</v>
      </c>
      <c r="E95" s="551">
        <f>621.631-24.859-35-18.35</f>
        <v>543.42199999999991</v>
      </c>
      <c r="F95" s="521">
        <f>392.155-0.5-27.489-0.3-8.15</f>
        <v>355.71600000000001</v>
      </c>
      <c r="G95" s="526">
        <v>0.35599999999999998</v>
      </c>
      <c r="H95" s="594">
        <v>5.5E-2</v>
      </c>
      <c r="I95" s="531">
        <f>695.384+0.615+10.579</f>
        <v>706.57799999999997</v>
      </c>
      <c r="J95" s="540">
        <f>672.072+0.606-0.7+10.412-6.64</f>
        <v>675.75</v>
      </c>
      <c r="K95" s="528">
        <v>19</v>
      </c>
      <c r="L95" s="522"/>
      <c r="M95" s="503">
        <v>4.8213600000000003</v>
      </c>
      <c r="N95" s="504"/>
    </row>
    <row r="96" spans="1:14" ht="15" customHeight="1" x14ac:dyDescent="0.25">
      <c r="A96" s="294">
        <f t="shared" si="8"/>
        <v>81</v>
      </c>
      <c r="B96" s="249" t="s">
        <v>34</v>
      </c>
      <c r="C96" s="228">
        <f t="shared" si="9"/>
        <v>553.72519999999997</v>
      </c>
      <c r="D96" s="522">
        <f t="shared" si="11"/>
        <v>464.71600000000001</v>
      </c>
      <c r="E96" s="551">
        <f>120.227-5.841+7.5-8.596</f>
        <v>113.29</v>
      </c>
      <c r="F96" s="521">
        <f>92.34-5.758-7.42-7.948</f>
        <v>71.213999999999999</v>
      </c>
      <c r="G96" s="526">
        <v>134.9</v>
      </c>
      <c r="H96" s="594">
        <v>100.893</v>
      </c>
      <c r="I96" s="551">
        <f>302.347+0.244-4.318</f>
        <v>298.27300000000002</v>
      </c>
      <c r="J96" s="521">
        <f>296.576+0.241-4.208</f>
        <v>292.60899999999998</v>
      </c>
      <c r="K96" s="528">
        <v>7.1</v>
      </c>
      <c r="L96" s="522"/>
      <c r="M96" s="503">
        <v>0.16220000000000001</v>
      </c>
      <c r="N96" s="504"/>
    </row>
    <row r="97" spans="1:14" ht="15" customHeight="1" x14ac:dyDescent="0.25">
      <c r="A97" s="294">
        <f t="shared" si="8"/>
        <v>82</v>
      </c>
      <c r="B97" s="249" t="s">
        <v>104</v>
      </c>
      <c r="C97" s="228">
        <f t="shared" si="9"/>
        <v>669.18099999999993</v>
      </c>
      <c r="D97" s="522">
        <f t="shared" si="11"/>
        <v>600.85699999999997</v>
      </c>
      <c r="E97" s="531">
        <f>598.164+1.35+2.367</f>
        <v>601.88099999999997</v>
      </c>
      <c r="F97" s="540">
        <f>566.064-2.75</f>
        <v>563.31399999999996</v>
      </c>
      <c r="G97" s="528"/>
      <c r="H97" s="522"/>
      <c r="I97" s="551">
        <v>32</v>
      </c>
      <c r="J97" s="521">
        <v>31.542999999999999</v>
      </c>
      <c r="K97" s="528">
        <f>33+2.3</f>
        <v>35.299999999999997</v>
      </c>
      <c r="L97" s="522">
        <v>6</v>
      </c>
      <c r="M97" s="503"/>
      <c r="N97" s="504"/>
    </row>
    <row r="98" spans="1:14" ht="15" customHeight="1" x14ac:dyDescent="0.25">
      <c r="A98" s="294">
        <f t="shared" si="8"/>
        <v>83</v>
      </c>
      <c r="B98" s="249" t="s">
        <v>247</v>
      </c>
      <c r="C98" s="228">
        <f t="shared" si="9"/>
        <v>226.84299999999999</v>
      </c>
      <c r="D98" s="522">
        <f t="shared" si="11"/>
        <v>200.44300000000001</v>
      </c>
      <c r="E98" s="531">
        <f>200.506-10.145+1.332</f>
        <v>191.69299999999998</v>
      </c>
      <c r="F98" s="540">
        <f>189.96-10</f>
        <v>179.96</v>
      </c>
      <c r="G98" s="523"/>
      <c r="H98" s="524"/>
      <c r="I98" s="551">
        <v>18</v>
      </c>
      <c r="J98" s="521">
        <v>17.742999999999999</v>
      </c>
      <c r="K98" s="528">
        <f>15+2.15</f>
        <v>17.149999999999999</v>
      </c>
      <c r="L98" s="522">
        <v>2.74</v>
      </c>
      <c r="M98" s="503"/>
      <c r="N98" s="504"/>
    </row>
    <row r="99" spans="1:14" ht="15" customHeight="1" x14ac:dyDescent="0.25">
      <c r="A99" s="294">
        <f t="shared" si="8"/>
        <v>84</v>
      </c>
      <c r="B99" s="249" t="s">
        <v>246</v>
      </c>
      <c r="C99" s="228">
        <f t="shared" si="9"/>
        <v>332.95456000000001</v>
      </c>
      <c r="D99" s="522">
        <f t="shared" si="11"/>
        <v>276.17399999999998</v>
      </c>
      <c r="E99" s="531">
        <f>302.548+0.933</f>
        <v>303.48099999999999</v>
      </c>
      <c r="F99" s="521">
        <f>267.405-1.2-2.5</f>
        <v>263.70499999999998</v>
      </c>
      <c r="G99" s="528"/>
      <c r="H99" s="522"/>
      <c r="I99" s="551">
        <f>11.282+0.09</f>
        <v>11.372</v>
      </c>
      <c r="J99" s="521">
        <f>11.12+0.089</f>
        <v>11.209</v>
      </c>
      <c r="K99" s="528">
        <v>14.3</v>
      </c>
      <c r="L99" s="522">
        <v>1.26</v>
      </c>
      <c r="M99" s="503">
        <v>3.8015599999999998</v>
      </c>
      <c r="N99" s="504"/>
    </row>
    <row r="100" spans="1:14" ht="15" customHeight="1" x14ac:dyDescent="0.25">
      <c r="A100" s="294">
        <f t="shared" si="8"/>
        <v>85</v>
      </c>
      <c r="B100" s="252" t="s">
        <v>23</v>
      </c>
      <c r="C100" s="506">
        <f t="shared" si="9"/>
        <v>342.44722999999999</v>
      </c>
      <c r="D100" s="596">
        <f t="shared" si="11"/>
        <v>208.773</v>
      </c>
      <c r="E100" s="600">
        <v>179.02877000000001</v>
      </c>
      <c r="F100" s="599">
        <f>152.65684-0.268+11.12</f>
        <v>163.50883999999999</v>
      </c>
      <c r="G100" s="601"/>
      <c r="H100" s="580"/>
      <c r="I100" s="597">
        <v>45.823160000000001</v>
      </c>
      <c r="J100" s="595">
        <v>45.264159999999997</v>
      </c>
      <c r="K100" s="528">
        <v>23.608000000000001</v>
      </c>
      <c r="L100" s="522"/>
      <c r="M100" s="503">
        <v>93.987300000000005</v>
      </c>
      <c r="N100" s="504"/>
    </row>
    <row r="101" spans="1:14" ht="15" customHeight="1" x14ac:dyDescent="0.25">
      <c r="A101" s="294">
        <f t="shared" si="8"/>
        <v>86</v>
      </c>
      <c r="B101" s="250" t="s">
        <v>531</v>
      </c>
      <c r="C101" s="228">
        <f t="shared" si="9"/>
        <v>0</v>
      </c>
      <c r="D101" s="522">
        <f t="shared" si="11"/>
        <v>0</v>
      </c>
      <c r="E101" s="531">
        <v>0</v>
      </c>
      <c r="F101" s="540">
        <v>0</v>
      </c>
      <c r="G101" s="523"/>
      <c r="H101" s="524"/>
      <c r="I101" s="526">
        <v>0</v>
      </c>
      <c r="J101" s="594">
        <v>0</v>
      </c>
      <c r="K101" s="528">
        <v>0</v>
      </c>
      <c r="L101" s="522"/>
      <c r="M101" s="503"/>
      <c r="N101" s="504"/>
    </row>
    <row r="102" spans="1:14" ht="15" customHeight="1" x14ac:dyDescent="0.25">
      <c r="A102" s="294">
        <f t="shared" si="8"/>
        <v>87</v>
      </c>
      <c r="B102" s="252" t="s">
        <v>24</v>
      </c>
      <c r="C102" s="506">
        <f t="shared" si="9"/>
        <v>113.13807</v>
      </c>
      <c r="D102" s="596">
        <f t="shared" si="11"/>
        <v>91.94</v>
      </c>
      <c r="E102" s="598">
        <v>41.150230000000001</v>
      </c>
      <c r="F102" s="602">
        <v>27.488160000000001</v>
      </c>
      <c r="G102" s="601"/>
      <c r="H102" s="580"/>
      <c r="I102" s="600">
        <v>71.595839999999995</v>
      </c>
      <c r="J102" s="599">
        <v>64.451840000000004</v>
      </c>
      <c r="K102" s="528">
        <v>0.39200000000000002</v>
      </c>
      <c r="L102" s="522"/>
      <c r="M102" s="503"/>
      <c r="N102" s="504"/>
    </row>
    <row r="103" spans="1:14" ht="15" customHeight="1" x14ac:dyDescent="0.25">
      <c r="A103" s="294">
        <f t="shared" si="8"/>
        <v>88</v>
      </c>
      <c r="B103" s="249" t="s">
        <v>105</v>
      </c>
      <c r="C103" s="228">
        <f t="shared" si="9"/>
        <v>451.63200000000006</v>
      </c>
      <c r="D103" s="522">
        <f t="shared" si="11"/>
        <v>382.57300000000004</v>
      </c>
      <c r="E103" s="603">
        <f>309.653+2+2.7-8.7+2.723</f>
        <v>308.37600000000003</v>
      </c>
      <c r="F103" s="604">
        <f>263.072+1.971+1.2+2</f>
        <v>268.24299999999999</v>
      </c>
      <c r="G103" s="526">
        <f>7.774+3.535</f>
        <v>11.309000000000001</v>
      </c>
      <c r="H103" s="594">
        <f>4.202+2.05</f>
        <v>6.2519999999999998</v>
      </c>
      <c r="I103" s="531">
        <f>115.303-4.576</f>
        <v>110.727</v>
      </c>
      <c r="J103" s="540">
        <f>111.406-4.404</f>
        <v>107.00200000000001</v>
      </c>
      <c r="K103" s="528">
        <v>21.22</v>
      </c>
      <c r="L103" s="522">
        <v>1.0760000000000001</v>
      </c>
      <c r="M103" s="503"/>
      <c r="N103" s="504"/>
    </row>
    <row r="104" spans="1:14" ht="15" customHeight="1" x14ac:dyDescent="0.25">
      <c r="A104" s="294">
        <f t="shared" si="8"/>
        <v>89</v>
      </c>
      <c r="B104" s="249" t="s">
        <v>149</v>
      </c>
      <c r="C104" s="228">
        <f t="shared" si="9"/>
        <v>309.81799999999998</v>
      </c>
      <c r="D104" s="527">
        <f t="shared" si="11"/>
        <v>243.53700000000001</v>
      </c>
      <c r="E104" s="551">
        <f>233.314+2.092-13.5</f>
        <v>221.90600000000001</v>
      </c>
      <c r="F104" s="521">
        <f>185.359+2.062-8.8</f>
        <v>178.62100000000001</v>
      </c>
      <c r="G104" s="526">
        <f>7.07+3.535+2.609+1.571+1.131</f>
        <v>15.916</v>
      </c>
      <c r="H104" s="594">
        <f>4.1+2.05+0.055</f>
        <v>6.2049999999999992</v>
      </c>
      <c r="I104" s="526">
        <f>65.303+0.183-0.99</f>
        <v>64.496000000000009</v>
      </c>
      <c r="J104" s="594">
        <f>62.946+0.18-0.962-3.453</f>
        <v>58.710999999999991</v>
      </c>
      <c r="K104" s="528">
        <f>6+1.5</f>
        <v>7.5</v>
      </c>
      <c r="L104" s="522"/>
      <c r="M104" s="503"/>
      <c r="N104" s="504"/>
    </row>
    <row r="105" spans="1:14" ht="15" customHeight="1" x14ac:dyDescent="0.25">
      <c r="A105" s="294">
        <f t="shared" si="8"/>
        <v>90</v>
      </c>
      <c r="B105" s="249" t="s">
        <v>5</v>
      </c>
      <c r="C105" s="228">
        <f t="shared" si="9"/>
        <v>661.44399999999996</v>
      </c>
      <c r="D105" s="522">
        <f>F105+H105+J105+L105</f>
        <v>474.74700000000001</v>
      </c>
      <c r="E105" s="21">
        <f>676.972-40+3.472</f>
        <v>640.44399999999996</v>
      </c>
      <c r="F105" s="22">
        <f>466.107-1.5+6</f>
        <v>470.60700000000003</v>
      </c>
      <c r="G105" s="528"/>
      <c r="H105" s="522"/>
      <c r="I105" s="605"/>
      <c r="J105" s="505"/>
      <c r="K105" s="526">
        <v>21</v>
      </c>
      <c r="L105" s="594">
        <v>4.1399999999999997</v>
      </c>
      <c r="M105" s="503"/>
      <c r="N105" s="504"/>
    </row>
    <row r="106" spans="1:14" ht="15" customHeight="1" x14ac:dyDescent="0.25">
      <c r="A106" s="294">
        <f t="shared" si="8"/>
        <v>91</v>
      </c>
      <c r="B106" s="250" t="s">
        <v>250</v>
      </c>
      <c r="C106" s="228">
        <f t="shared" si="9"/>
        <v>1.381</v>
      </c>
      <c r="D106" s="522"/>
      <c r="E106" s="551">
        <v>1.381</v>
      </c>
      <c r="F106" s="521"/>
      <c r="G106" s="528"/>
      <c r="H106" s="522"/>
      <c r="I106" s="551"/>
      <c r="J106" s="521"/>
      <c r="K106" s="606"/>
      <c r="L106" s="607"/>
      <c r="M106" s="503"/>
      <c r="N106" s="504"/>
    </row>
    <row r="107" spans="1:14" ht="15" customHeight="1" x14ac:dyDescent="0.25">
      <c r="A107" s="294">
        <f t="shared" si="8"/>
        <v>92</v>
      </c>
      <c r="B107" s="249" t="s">
        <v>7</v>
      </c>
      <c r="C107" s="228">
        <f t="shared" si="9"/>
        <v>4.17</v>
      </c>
      <c r="D107" s="522"/>
      <c r="E107" s="551">
        <v>4.17</v>
      </c>
      <c r="F107" s="521"/>
      <c r="G107" s="523"/>
      <c r="H107" s="524"/>
      <c r="I107" s="551"/>
      <c r="J107" s="521"/>
      <c r="K107" s="528"/>
      <c r="L107" s="522"/>
      <c r="M107" s="503"/>
      <c r="N107" s="504"/>
    </row>
    <row r="108" spans="1:14" ht="15" customHeight="1" x14ac:dyDescent="0.25">
      <c r="A108" s="294">
        <f t="shared" si="8"/>
        <v>93</v>
      </c>
      <c r="B108" s="249" t="s">
        <v>8</v>
      </c>
      <c r="C108" s="228">
        <f t="shared" si="9"/>
        <v>14.785</v>
      </c>
      <c r="D108" s="522"/>
      <c r="E108" s="551">
        <f>19.785-4-1</f>
        <v>14.785</v>
      </c>
      <c r="F108" s="521"/>
      <c r="G108" s="523"/>
      <c r="H108" s="524"/>
      <c r="I108" s="551"/>
      <c r="J108" s="521"/>
      <c r="K108" s="528"/>
      <c r="L108" s="522"/>
      <c r="M108" s="503"/>
      <c r="N108" s="504"/>
    </row>
    <row r="109" spans="1:14" ht="15" customHeight="1" x14ac:dyDescent="0.25">
      <c r="A109" s="294">
        <f t="shared" si="8"/>
        <v>94</v>
      </c>
      <c r="B109" s="249" t="s">
        <v>9</v>
      </c>
      <c r="C109" s="228">
        <f t="shared" si="9"/>
        <v>4.1970000000000001</v>
      </c>
      <c r="D109" s="522"/>
      <c r="E109" s="551">
        <v>4.1970000000000001</v>
      </c>
      <c r="F109" s="521"/>
      <c r="G109" s="523"/>
      <c r="H109" s="524"/>
      <c r="I109" s="551"/>
      <c r="J109" s="521"/>
      <c r="K109" s="523"/>
      <c r="L109" s="524"/>
      <c r="M109" s="503"/>
      <c r="N109" s="504"/>
    </row>
    <row r="110" spans="1:14" ht="15" customHeight="1" x14ac:dyDescent="0.25">
      <c r="A110" s="294">
        <f t="shared" si="8"/>
        <v>95</v>
      </c>
      <c r="B110" s="249" t="s">
        <v>10</v>
      </c>
      <c r="C110" s="228">
        <f t="shared" si="9"/>
        <v>3.65</v>
      </c>
      <c r="D110" s="522"/>
      <c r="E110" s="551">
        <v>3.65</v>
      </c>
      <c r="F110" s="521"/>
      <c r="G110" s="523"/>
      <c r="H110" s="524"/>
      <c r="I110" s="551"/>
      <c r="J110" s="521"/>
      <c r="K110" s="523"/>
      <c r="L110" s="524"/>
      <c r="M110" s="503"/>
      <c r="N110" s="504"/>
    </row>
    <row r="111" spans="1:14" ht="15" customHeight="1" thickBot="1" x14ac:dyDescent="0.3">
      <c r="A111" s="330">
        <f t="shared" si="8"/>
        <v>96</v>
      </c>
      <c r="B111" s="249" t="s">
        <v>11</v>
      </c>
      <c r="C111" s="228">
        <f t="shared" si="9"/>
        <v>2.9569999999999999</v>
      </c>
      <c r="D111" s="554"/>
      <c r="E111" s="559">
        <v>2.9569999999999999</v>
      </c>
      <c r="F111" s="552"/>
      <c r="G111" s="608"/>
      <c r="H111" s="609"/>
      <c r="I111" s="610"/>
      <c r="J111" s="611"/>
      <c r="K111" s="608"/>
      <c r="L111" s="609"/>
      <c r="M111" s="612"/>
      <c r="N111" s="613"/>
    </row>
    <row r="112" spans="1:14" ht="30" customHeight="1" thickBot="1" x14ac:dyDescent="0.3">
      <c r="A112" s="289">
        <f t="shared" si="8"/>
        <v>97</v>
      </c>
      <c r="B112" s="253" t="s">
        <v>235</v>
      </c>
      <c r="C112" s="228">
        <f t="shared" si="9"/>
        <v>4330.1297399999994</v>
      </c>
      <c r="D112" s="614">
        <f t="shared" ref="D112" si="12">F112+H112+J112+L112</f>
        <v>2832.25</v>
      </c>
      <c r="E112" s="65">
        <f>E113+E120+SUM(E134:E149)+E129</f>
        <v>3868.9657399999996</v>
      </c>
      <c r="F112" s="57">
        <f>F113+F120+SUM(F134:F149)</f>
        <v>2779.5160000000001</v>
      </c>
      <c r="G112" s="64">
        <f>G136+G149</f>
        <v>33.564</v>
      </c>
      <c r="H112" s="615"/>
      <c r="I112" s="616"/>
      <c r="J112" s="617"/>
      <c r="K112" s="64">
        <f>K113+SUM(K134:K149)</f>
        <v>427.6</v>
      </c>
      <c r="L112" s="54">
        <f>L113+SUM(L134:L149)</f>
        <v>52.734000000000002</v>
      </c>
      <c r="M112" s="618"/>
      <c r="N112" s="619"/>
    </row>
    <row r="113" spans="1:14" ht="15" customHeight="1" x14ac:dyDescent="0.25">
      <c r="A113" s="294">
        <f t="shared" si="8"/>
        <v>98</v>
      </c>
      <c r="B113" s="254" t="s">
        <v>266</v>
      </c>
      <c r="C113" s="228">
        <f t="shared" si="9"/>
        <v>114.71374</v>
      </c>
      <c r="D113" s="620"/>
      <c r="E113" s="605">
        <f>SUM(E114:E119)</f>
        <v>114.71374</v>
      </c>
      <c r="F113" s="507"/>
      <c r="G113" s="621"/>
      <c r="H113" s="622"/>
      <c r="I113" s="621"/>
      <c r="J113" s="622"/>
      <c r="K113" s="535"/>
      <c r="L113" s="623"/>
      <c r="M113" s="578"/>
      <c r="N113" s="579"/>
    </row>
    <row r="114" spans="1:14" ht="15" customHeight="1" x14ac:dyDescent="0.25">
      <c r="A114" s="226">
        <f t="shared" si="8"/>
        <v>99</v>
      </c>
      <c r="B114" s="303" t="s">
        <v>79</v>
      </c>
      <c r="C114" s="228">
        <f t="shared" si="9"/>
        <v>35</v>
      </c>
      <c r="D114" s="537"/>
      <c r="E114" s="583">
        <v>35</v>
      </c>
      <c r="F114" s="507"/>
      <c r="G114" s="621"/>
      <c r="H114" s="622"/>
      <c r="I114" s="621"/>
      <c r="J114" s="622"/>
      <c r="K114" s="535"/>
      <c r="L114" s="623"/>
      <c r="M114" s="518"/>
      <c r="N114" s="537"/>
    </row>
    <row r="115" spans="1:14" ht="15" customHeight="1" x14ac:dyDescent="0.25">
      <c r="A115" s="226">
        <f t="shared" si="8"/>
        <v>100</v>
      </c>
      <c r="B115" s="303" t="s">
        <v>236</v>
      </c>
      <c r="C115" s="228">
        <f t="shared" si="9"/>
        <v>4</v>
      </c>
      <c r="D115" s="537"/>
      <c r="E115" s="583">
        <v>4</v>
      </c>
      <c r="F115" s="507"/>
      <c r="G115" s="621"/>
      <c r="H115" s="622"/>
      <c r="I115" s="621"/>
      <c r="J115" s="622"/>
      <c r="K115" s="535"/>
      <c r="L115" s="623"/>
      <c r="M115" s="518"/>
      <c r="N115" s="537"/>
    </row>
    <row r="116" spans="1:14" ht="15" customHeight="1" x14ac:dyDescent="0.25">
      <c r="A116" s="226">
        <f t="shared" si="8"/>
        <v>101</v>
      </c>
      <c r="B116" s="305" t="s">
        <v>256</v>
      </c>
      <c r="C116" s="228">
        <f t="shared" si="9"/>
        <v>22.2</v>
      </c>
      <c r="D116" s="524"/>
      <c r="E116" s="583">
        <v>22.2</v>
      </c>
      <c r="F116" s="507"/>
      <c r="G116" s="621"/>
      <c r="H116" s="622"/>
      <c r="I116" s="621"/>
      <c r="J116" s="622"/>
      <c r="K116" s="535"/>
      <c r="L116" s="623"/>
      <c r="M116" s="518"/>
      <c r="N116" s="537"/>
    </row>
    <row r="117" spans="1:14" ht="15" customHeight="1" x14ac:dyDescent="0.25">
      <c r="A117" s="226">
        <f t="shared" si="8"/>
        <v>102</v>
      </c>
      <c r="B117" s="255" t="s">
        <v>221</v>
      </c>
      <c r="C117" s="228">
        <f t="shared" si="9"/>
        <v>20</v>
      </c>
      <c r="D117" s="524"/>
      <c r="E117" s="583">
        <v>20</v>
      </c>
      <c r="F117" s="507"/>
      <c r="G117" s="621"/>
      <c r="H117" s="622"/>
      <c r="I117" s="621"/>
      <c r="J117" s="622"/>
      <c r="K117" s="535"/>
      <c r="L117" s="623"/>
      <c r="M117" s="518"/>
      <c r="N117" s="537"/>
    </row>
    <row r="118" spans="1:14" ht="15" customHeight="1" x14ac:dyDescent="0.25">
      <c r="A118" s="226">
        <f t="shared" si="8"/>
        <v>103</v>
      </c>
      <c r="B118" s="255" t="s">
        <v>218</v>
      </c>
      <c r="C118" s="228">
        <f t="shared" si="9"/>
        <v>4</v>
      </c>
      <c r="D118" s="524"/>
      <c r="E118" s="583">
        <v>4</v>
      </c>
      <c r="F118" s="507"/>
      <c r="G118" s="621"/>
      <c r="H118" s="622"/>
      <c r="I118" s="621"/>
      <c r="J118" s="622"/>
      <c r="K118" s="535"/>
      <c r="L118" s="623"/>
      <c r="M118" s="518"/>
      <c r="N118" s="537"/>
    </row>
    <row r="119" spans="1:14" ht="15" customHeight="1" x14ac:dyDescent="0.25">
      <c r="A119" s="226">
        <f t="shared" si="8"/>
        <v>104</v>
      </c>
      <c r="B119" s="307" t="s">
        <v>226</v>
      </c>
      <c r="C119" s="228">
        <f t="shared" si="9"/>
        <v>29.513739999999999</v>
      </c>
      <c r="D119" s="524"/>
      <c r="E119" s="583">
        <f>34-4.48626</f>
        <v>29.513739999999999</v>
      </c>
      <c r="F119" s="507"/>
      <c r="G119" s="621"/>
      <c r="H119" s="622"/>
      <c r="I119" s="621"/>
      <c r="J119" s="622"/>
      <c r="K119" s="535"/>
      <c r="L119" s="623"/>
      <c r="M119" s="518"/>
      <c r="N119" s="537"/>
    </row>
    <row r="120" spans="1:14" ht="15" customHeight="1" x14ac:dyDescent="0.25">
      <c r="A120" s="294">
        <f t="shared" si="8"/>
        <v>105</v>
      </c>
      <c r="B120" s="242" t="s">
        <v>255</v>
      </c>
      <c r="C120" s="228">
        <f t="shared" si="9"/>
        <v>227.96500000000003</v>
      </c>
      <c r="D120" s="537"/>
      <c r="E120" s="531">
        <f>SUM(E121:E128)</f>
        <v>227.96500000000003</v>
      </c>
      <c r="F120" s="507"/>
      <c r="G120" s="621"/>
      <c r="H120" s="622"/>
      <c r="I120" s="621"/>
      <c r="J120" s="622"/>
      <c r="K120" s="535"/>
      <c r="L120" s="623"/>
      <c r="M120" s="518"/>
      <c r="N120" s="537"/>
    </row>
    <row r="121" spans="1:14" ht="15" customHeight="1" x14ac:dyDescent="0.25">
      <c r="A121" s="226">
        <f t="shared" si="8"/>
        <v>106</v>
      </c>
      <c r="B121" s="255" t="s">
        <v>65</v>
      </c>
      <c r="C121" s="228">
        <f t="shared" si="9"/>
        <v>15.865000000000002</v>
      </c>
      <c r="D121" s="537"/>
      <c r="E121" s="583">
        <f>16+2.865-3</f>
        <v>15.865000000000002</v>
      </c>
      <c r="F121" s="524"/>
      <c r="G121" s="523"/>
      <c r="H121" s="524"/>
      <c r="I121" s="523"/>
      <c r="J121" s="524"/>
      <c r="K121" s="525"/>
      <c r="L121" s="502"/>
      <c r="M121" s="518"/>
      <c r="N121" s="537"/>
    </row>
    <row r="122" spans="1:14" ht="15" customHeight="1" x14ac:dyDescent="0.25">
      <c r="A122" s="226">
        <f t="shared" si="8"/>
        <v>107</v>
      </c>
      <c r="B122" s="255" t="s">
        <v>257</v>
      </c>
      <c r="C122" s="228">
        <f t="shared" si="9"/>
        <v>65</v>
      </c>
      <c r="D122" s="537"/>
      <c r="E122" s="583">
        <v>65</v>
      </c>
      <c r="F122" s="524"/>
      <c r="G122" s="523"/>
      <c r="H122" s="524"/>
      <c r="I122" s="523"/>
      <c r="J122" s="524"/>
      <c r="K122" s="525"/>
      <c r="L122" s="502"/>
      <c r="M122" s="518"/>
      <c r="N122" s="537"/>
    </row>
    <row r="123" spans="1:14" ht="15" customHeight="1" x14ac:dyDescent="0.25">
      <c r="A123" s="226">
        <f t="shared" si="8"/>
        <v>108</v>
      </c>
      <c r="B123" s="255" t="s">
        <v>66</v>
      </c>
      <c r="C123" s="228">
        <f t="shared" si="9"/>
        <v>16</v>
      </c>
      <c r="D123" s="537"/>
      <c r="E123" s="583">
        <v>16</v>
      </c>
      <c r="F123" s="524"/>
      <c r="G123" s="523"/>
      <c r="H123" s="524"/>
      <c r="I123" s="523"/>
      <c r="J123" s="524"/>
      <c r="K123" s="525"/>
      <c r="L123" s="502"/>
      <c r="M123" s="518"/>
      <c r="N123" s="537"/>
    </row>
    <row r="124" spans="1:14" ht="15" customHeight="1" x14ac:dyDescent="0.25">
      <c r="A124" s="226">
        <f t="shared" si="8"/>
        <v>109</v>
      </c>
      <c r="B124" s="255" t="s">
        <v>258</v>
      </c>
      <c r="C124" s="228">
        <f t="shared" si="9"/>
        <v>41.8</v>
      </c>
      <c r="D124" s="537"/>
      <c r="E124" s="583">
        <f>45-3.2</f>
        <v>41.8</v>
      </c>
      <c r="F124" s="524"/>
      <c r="G124" s="523"/>
      <c r="H124" s="524"/>
      <c r="I124" s="523"/>
      <c r="J124" s="524"/>
      <c r="K124" s="525"/>
      <c r="L124" s="502"/>
      <c r="M124" s="518"/>
      <c r="N124" s="537"/>
    </row>
    <row r="125" spans="1:14" ht="27.75" customHeight="1" x14ac:dyDescent="0.25">
      <c r="A125" s="226">
        <f t="shared" si="8"/>
        <v>110</v>
      </c>
      <c r="B125" s="255" t="s">
        <v>261</v>
      </c>
      <c r="C125" s="228">
        <f t="shared" si="9"/>
        <v>15</v>
      </c>
      <c r="D125" s="537"/>
      <c r="E125" s="583">
        <v>15</v>
      </c>
      <c r="F125" s="524"/>
      <c r="G125" s="523"/>
      <c r="H125" s="524"/>
      <c r="I125" s="523"/>
      <c r="J125" s="524"/>
      <c r="K125" s="525"/>
      <c r="L125" s="502"/>
      <c r="M125" s="518"/>
      <c r="N125" s="537"/>
    </row>
    <row r="126" spans="1:14" ht="15" customHeight="1" x14ac:dyDescent="0.25">
      <c r="A126" s="226">
        <f t="shared" si="8"/>
        <v>111</v>
      </c>
      <c r="B126" s="255" t="s">
        <v>259</v>
      </c>
      <c r="C126" s="228">
        <f t="shared" si="9"/>
        <v>20</v>
      </c>
      <c r="D126" s="537"/>
      <c r="E126" s="583">
        <v>20</v>
      </c>
      <c r="F126" s="524"/>
      <c r="G126" s="523"/>
      <c r="H126" s="524"/>
      <c r="I126" s="523"/>
      <c r="J126" s="524"/>
      <c r="K126" s="525"/>
      <c r="L126" s="502"/>
      <c r="M126" s="518"/>
      <c r="N126" s="537"/>
    </row>
    <row r="127" spans="1:14" ht="15" customHeight="1" x14ac:dyDescent="0.25">
      <c r="A127" s="226">
        <f t="shared" si="8"/>
        <v>112</v>
      </c>
      <c r="B127" s="255" t="s">
        <v>260</v>
      </c>
      <c r="C127" s="228">
        <f t="shared" si="9"/>
        <v>11</v>
      </c>
      <c r="D127" s="537"/>
      <c r="E127" s="583">
        <v>11</v>
      </c>
      <c r="F127" s="524"/>
      <c r="G127" s="523"/>
      <c r="H127" s="524"/>
      <c r="I127" s="523"/>
      <c r="J127" s="524"/>
      <c r="K127" s="525"/>
      <c r="L127" s="502"/>
      <c r="M127" s="518"/>
      <c r="N127" s="537"/>
    </row>
    <row r="128" spans="1:14" ht="15" customHeight="1" x14ac:dyDescent="0.25">
      <c r="A128" s="226">
        <f t="shared" si="8"/>
        <v>113</v>
      </c>
      <c r="B128" s="255" t="s">
        <v>372</v>
      </c>
      <c r="C128" s="228">
        <f t="shared" si="9"/>
        <v>43.3</v>
      </c>
      <c r="D128" s="537"/>
      <c r="E128" s="583">
        <f>86.6-43.3</f>
        <v>43.3</v>
      </c>
      <c r="F128" s="524"/>
      <c r="G128" s="523"/>
      <c r="H128" s="524"/>
      <c r="I128" s="523"/>
      <c r="J128" s="524"/>
      <c r="K128" s="525"/>
      <c r="L128" s="502"/>
      <c r="M128" s="518"/>
      <c r="N128" s="537"/>
    </row>
    <row r="129" spans="1:15" ht="15" customHeight="1" x14ac:dyDescent="0.25">
      <c r="A129" s="294">
        <f t="shared" si="8"/>
        <v>114</v>
      </c>
      <c r="B129" s="250" t="s">
        <v>76</v>
      </c>
      <c r="C129" s="228">
        <f t="shared" si="9"/>
        <v>22</v>
      </c>
      <c r="D129" s="537"/>
      <c r="E129" s="531">
        <f>E130</f>
        <v>22</v>
      </c>
      <c r="F129" s="541"/>
      <c r="G129" s="523"/>
      <c r="H129" s="524"/>
      <c r="I129" s="523"/>
      <c r="J129" s="524"/>
      <c r="K129" s="525"/>
      <c r="L129" s="502"/>
      <c r="M129" s="518"/>
      <c r="N129" s="537"/>
    </row>
    <row r="130" spans="1:15" ht="15" customHeight="1" x14ac:dyDescent="0.25">
      <c r="A130" s="226">
        <f t="shared" si="8"/>
        <v>115</v>
      </c>
      <c r="B130" s="255" t="s">
        <v>457</v>
      </c>
      <c r="C130" s="228">
        <f t="shared" si="9"/>
        <v>22</v>
      </c>
      <c r="D130" s="537"/>
      <c r="E130" s="583">
        <f>E131+E132+E133</f>
        <v>22</v>
      </c>
      <c r="F130" s="541"/>
      <c r="G130" s="523"/>
      <c r="H130" s="524"/>
      <c r="I130" s="523"/>
      <c r="J130" s="524"/>
      <c r="K130" s="525"/>
      <c r="L130" s="502"/>
      <c r="M130" s="518"/>
      <c r="N130" s="537"/>
    </row>
    <row r="131" spans="1:15" ht="27.75" customHeight="1" x14ac:dyDescent="0.25">
      <c r="A131" s="226">
        <f t="shared" si="8"/>
        <v>116</v>
      </c>
      <c r="B131" s="255" t="s">
        <v>289</v>
      </c>
      <c r="C131" s="228">
        <f t="shared" si="9"/>
        <v>5</v>
      </c>
      <c r="D131" s="537"/>
      <c r="E131" s="583">
        <v>5</v>
      </c>
      <c r="F131" s="541"/>
      <c r="G131" s="523"/>
      <c r="H131" s="524"/>
      <c r="I131" s="523"/>
      <c r="J131" s="524"/>
      <c r="K131" s="525"/>
      <c r="L131" s="502"/>
      <c r="M131" s="518"/>
      <c r="N131" s="537"/>
    </row>
    <row r="132" spans="1:15" ht="26.25" customHeight="1" x14ac:dyDescent="0.25">
      <c r="A132" s="226">
        <f t="shared" si="8"/>
        <v>117</v>
      </c>
      <c r="B132" s="255" t="s">
        <v>444</v>
      </c>
      <c r="C132" s="228">
        <f t="shared" si="9"/>
        <v>15.5</v>
      </c>
      <c r="D132" s="537"/>
      <c r="E132" s="583">
        <v>15.5</v>
      </c>
      <c r="F132" s="541"/>
      <c r="G132" s="523"/>
      <c r="H132" s="524"/>
      <c r="I132" s="523"/>
      <c r="J132" s="524"/>
      <c r="K132" s="525"/>
      <c r="L132" s="502"/>
      <c r="M132" s="518"/>
      <c r="N132" s="537"/>
    </row>
    <row r="133" spans="1:15" ht="26.25" customHeight="1" x14ac:dyDescent="0.25">
      <c r="A133" s="226">
        <f t="shared" si="8"/>
        <v>118</v>
      </c>
      <c r="B133" s="255" t="s">
        <v>514</v>
      </c>
      <c r="C133" s="228">
        <f t="shared" si="9"/>
        <v>1.5</v>
      </c>
      <c r="D133" s="537"/>
      <c r="E133" s="583">
        <v>1.5</v>
      </c>
      <c r="F133" s="541"/>
      <c r="G133" s="523"/>
      <c r="H133" s="524"/>
      <c r="I133" s="523"/>
      <c r="J133" s="524"/>
      <c r="K133" s="525"/>
      <c r="L133" s="502"/>
      <c r="M133" s="518"/>
      <c r="N133" s="537"/>
    </row>
    <row r="134" spans="1:15" ht="15" customHeight="1" x14ac:dyDescent="0.25">
      <c r="A134" s="294">
        <f t="shared" si="8"/>
        <v>119</v>
      </c>
      <c r="B134" s="247" t="s">
        <v>3</v>
      </c>
      <c r="C134" s="228">
        <f t="shared" si="9"/>
        <v>795.73099999999999</v>
      </c>
      <c r="D134" s="507">
        <f>F134+H134+J134+L134</f>
        <v>641.43500000000006</v>
      </c>
      <c r="E134" s="21">
        <v>734.93100000000004</v>
      </c>
      <c r="F134" s="522">
        <v>633.70100000000002</v>
      </c>
      <c r="G134" s="523"/>
      <c r="H134" s="524"/>
      <c r="I134" s="523"/>
      <c r="J134" s="524"/>
      <c r="K134" s="551">
        <f>45.8+15</f>
        <v>60.8</v>
      </c>
      <c r="L134" s="521">
        <v>7.734</v>
      </c>
      <c r="M134" s="518"/>
      <c r="N134" s="537"/>
    </row>
    <row r="135" spans="1:15" ht="15" customHeight="1" x14ac:dyDescent="0.25">
      <c r="A135" s="294">
        <f t="shared" si="8"/>
        <v>120</v>
      </c>
      <c r="B135" s="249" t="s">
        <v>4</v>
      </c>
      <c r="C135" s="228">
        <f t="shared" si="9"/>
        <v>888.30100000000004</v>
      </c>
      <c r="D135" s="522">
        <f>F135+H135+J135+L135</f>
        <v>648.16599999999994</v>
      </c>
      <c r="E135" s="21">
        <v>828.30100000000004</v>
      </c>
      <c r="F135" s="522">
        <f>632.51+10.656</f>
        <v>643.16599999999994</v>
      </c>
      <c r="G135" s="523"/>
      <c r="H135" s="524"/>
      <c r="I135" s="523"/>
      <c r="J135" s="524"/>
      <c r="K135" s="551">
        <f>55+5</f>
        <v>60</v>
      </c>
      <c r="L135" s="521">
        <v>5</v>
      </c>
      <c r="M135" s="518"/>
      <c r="N135" s="537"/>
    </row>
    <row r="136" spans="1:15" ht="15" customHeight="1" x14ac:dyDescent="0.25">
      <c r="A136" s="294">
        <f t="shared" si="8"/>
        <v>121</v>
      </c>
      <c r="B136" s="249" t="s">
        <v>278</v>
      </c>
      <c r="C136" s="228">
        <f t="shared" si="9"/>
        <v>1161.3230000000001</v>
      </c>
      <c r="D136" s="522">
        <f>F136+H136+J136+L136</f>
        <v>958.61899999999991</v>
      </c>
      <c r="E136" s="551">
        <v>1123.9590000000001</v>
      </c>
      <c r="F136" s="522">
        <f>967.319-8.7</f>
        <v>958.61899999999991</v>
      </c>
      <c r="G136" s="528">
        <v>33.564</v>
      </c>
      <c r="H136" s="524"/>
      <c r="I136" s="523"/>
      <c r="J136" s="524"/>
      <c r="K136" s="551">
        <v>3.8</v>
      </c>
      <c r="L136" s="521"/>
      <c r="M136" s="518"/>
      <c r="N136" s="537"/>
    </row>
    <row r="137" spans="1:15" ht="15" customHeight="1" x14ac:dyDescent="0.25">
      <c r="A137" s="294">
        <f t="shared" si="8"/>
        <v>122</v>
      </c>
      <c r="B137" s="249" t="s">
        <v>5</v>
      </c>
      <c r="C137" s="228">
        <f t="shared" si="9"/>
        <v>12.5</v>
      </c>
      <c r="D137" s="522"/>
      <c r="E137" s="551">
        <v>12.5</v>
      </c>
      <c r="F137" s="522"/>
      <c r="G137" s="523"/>
      <c r="H137" s="524"/>
      <c r="I137" s="528"/>
      <c r="J137" s="522"/>
      <c r="K137" s="551"/>
      <c r="L137" s="521"/>
      <c r="M137" s="518"/>
      <c r="N137" s="537"/>
    </row>
    <row r="138" spans="1:15" ht="15" customHeight="1" x14ac:dyDescent="0.25">
      <c r="A138" s="294">
        <f t="shared" si="8"/>
        <v>123</v>
      </c>
      <c r="B138" s="256" t="s">
        <v>224</v>
      </c>
      <c r="C138" s="228">
        <f t="shared" si="9"/>
        <v>644.33500000000004</v>
      </c>
      <c r="D138" s="522">
        <f t="shared" ref="D138:D140" si="13">F138+H138+J138+L138</f>
        <v>287.98199999999997</v>
      </c>
      <c r="E138" s="551">
        <v>344.33499999999998</v>
      </c>
      <c r="F138" s="522">
        <v>247.982</v>
      </c>
      <c r="G138" s="523"/>
      <c r="H138" s="524"/>
      <c r="I138" s="523"/>
      <c r="J138" s="524"/>
      <c r="K138" s="551">
        <f>200+100</f>
        <v>300</v>
      </c>
      <c r="L138" s="521">
        <f>10+30</f>
        <v>40</v>
      </c>
      <c r="M138" s="518"/>
      <c r="N138" s="537"/>
    </row>
    <row r="139" spans="1:15" ht="15" customHeight="1" x14ac:dyDescent="0.25">
      <c r="A139" s="294">
        <f t="shared" si="8"/>
        <v>124</v>
      </c>
      <c r="B139" s="250" t="s">
        <v>250</v>
      </c>
      <c r="C139" s="228">
        <f t="shared" si="9"/>
        <v>95.884</v>
      </c>
      <c r="D139" s="522">
        <f t="shared" si="13"/>
        <v>90.5</v>
      </c>
      <c r="E139" s="551">
        <v>95.884</v>
      </c>
      <c r="F139" s="522">
        <v>90.5</v>
      </c>
      <c r="G139" s="523"/>
      <c r="H139" s="524"/>
      <c r="I139" s="523"/>
      <c r="J139" s="524"/>
      <c r="K139" s="551"/>
      <c r="L139" s="521"/>
      <c r="M139" s="518"/>
      <c r="N139" s="537"/>
    </row>
    <row r="140" spans="1:15" ht="15" customHeight="1" x14ac:dyDescent="0.25">
      <c r="A140" s="294">
        <f t="shared" si="8"/>
        <v>125</v>
      </c>
      <c r="B140" s="254" t="s">
        <v>534</v>
      </c>
      <c r="C140" s="228">
        <f t="shared" si="9"/>
        <v>67.900000000000006</v>
      </c>
      <c r="D140" s="522">
        <f t="shared" si="13"/>
        <v>32.5</v>
      </c>
      <c r="E140" s="526">
        <v>67.900000000000006</v>
      </c>
      <c r="F140" s="522">
        <v>32.5</v>
      </c>
      <c r="G140" s="523"/>
      <c r="H140" s="524"/>
      <c r="I140" s="523"/>
      <c r="J140" s="524"/>
      <c r="K140" s="551"/>
      <c r="L140" s="521"/>
      <c r="M140" s="518"/>
      <c r="N140" s="537"/>
    </row>
    <row r="141" spans="1:15" ht="15" customHeight="1" x14ac:dyDescent="0.25">
      <c r="A141" s="294">
        <f t="shared" si="8"/>
        <v>126</v>
      </c>
      <c r="B141" s="249" t="s">
        <v>7</v>
      </c>
      <c r="C141" s="228">
        <f t="shared" si="9"/>
        <v>23.045000000000002</v>
      </c>
      <c r="D141" s="522"/>
      <c r="E141" s="551">
        <f>33.045-6-4</f>
        <v>23.045000000000002</v>
      </c>
      <c r="F141" s="522"/>
      <c r="G141" s="523"/>
      <c r="H141" s="524"/>
      <c r="I141" s="523"/>
      <c r="J141" s="524"/>
      <c r="K141" s="551"/>
      <c r="L141" s="521"/>
      <c r="M141" s="518"/>
      <c r="N141" s="537"/>
      <c r="O141" s="176"/>
    </row>
    <row r="142" spans="1:15" ht="15" customHeight="1" x14ac:dyDescent="0.25">
      <c r="A142" s="294">
        <f t="shared" si="8"/>
        <v>127</v>
      </c>
      <c r="B142" s="249" t="s">
        <v>8</v>
      </c>
      <c r="C142" s="228">
        <f t="shared" si="9"/>
        <v>19.268999999999998</v>
      </c>
      <c r="D142" s="522"/>
      <c r="E142" s="551">
        <f>6.805+30.464-18</f>
        <v>19.268999999999998</v>
      </c>
      <c r="F142" s="522"/>
      <c r="G142" s="523"/>
      <c r="H142" s="524"/>
      <c r="I142" s="523"/>
      <c r="J142" s="524"/>
      <c r="K142" s="551"/>
      <c r="L142" s="502"/>
      <c r="M142" s="518"/>
      <c r="N142" s="537"/>
    </row>
    <row r="143" spans="1:15" ht="15" customHeight="1" x14ac:dyDescent="0.25">
      <c r="A143" s="294">
        <f t="shared" si="8"/>
        <v>128</v>
      </c>
      <c r="B143" s="249" t="s">
        <v>9</v>
      </c>
      <c r="C143" s="228">
        <f t="shared" si="9"/>
        <v>18.673999999999999</v>
      </c>
      <c r="D143" s="522"/>
      <c r="E143" s="551">
        <v>18.673999999999999</v>
      </c>
      <c r="F143" s="522"/>
      <c r="G143" s="523"/>
      <c r="H143" s="524"/>
      <c r="I143" s="523"/>
      <c r="J143" s="524"/>
      <c r="K143" s="551"/>
      <c r="L143" s="502"/>
      <c r="M143" s="518"/>
      <c r="N143" s="537"/>
    </row>
    <row r="144" spans="1:15" ht="15" customHeight="1" x14ac:dyDescent="0.25">
      <c r="A144" s="294">
        <f t="shared" si="8"/>
        <v>129</v>
      </c>
      <c r="B144" s="249" t="s">
        <v>10</v>
      </c>
      <c r="C144" s="228">
        <f t="shared" si="9"/>
        <v>1.54</v>
      </c>
      <c r="D144" s="522"/>
      <c r="E144" s="551">
        <f>3.54-2</f>
        <v>1.54</v>
      </c>
      <c r="F144" s="522"/>
      <c r="G144" s="523"/>
      <c r="H144" s="524"/>
      <c r="I144" s="523"/>
      <c r="J144" s="524"/>
      <c r="K144" s="551"/>
      <c r="L144" s="502"/>
      <c r="M144" s="518"/>
      <c r="N144" s="537"/>
    </row>
    <row r="145" spans="1:15" ht="15" customHeight="1" x14ac:dyDescent="0.25">
      <c r="A145" s="294">
        <f t="shared" si="8"/>
        <v>130</v>
      </c>
      <c r="B145" s="249" t="s">
        <v>12</v>
      </c>
      <c r="C145" s="228">
        <f t="shared" si="9"/>
        <v>14.988</v>
      </c>
      <c r="D145" s="522"/>
      <c r="E145" s="551">
        <f>20.488-5.5</f>
        <v>14.988</v>
      </c>
      <c r="F145" s="522"/>
      <c r="G145" s="523"/>
      <c r="H145" s="524"/>
      <c r="I145" s="523"/>
      <c r="J145" s="524"/>
      <c r="K145" s="551"/>
      <c r="L145" s="521"/>
      <c r="M145" s="518"/>
      <c r="N145" s="537"/>
    </row>
    <row r="146" spans="1:15" ht="15" customHeight="1" x14ac:dyDescent="0.25">
      <c r="A146" s="294">
        <f t="shared" ref="A146:A209" si="14">A145+1</f>
        <v>131</v>
      </c>
      <c r="B146" s="249" t="s">
        <v>13</v>
      </c>
      <c r="C146" s="228">
        <f t="shared" ref="C146:C209" si="15">E146+G146+I146+K146+M146</f>
        <v>5.0390000000000015</v>
      </c>
      <c r="D146" s="522"/>
      <c r="E146" s="551">
        <f>23.039-18</f>
        <v>5.0390000000000015</v>
      </c>
      <c r="F146" s="522"/>
      <c r="G146" s="523"/>
      <c r="H146" s="524"/>
      <c r="I146" s="523"/>
      <c r="J146" s="524"/>
      <c r="K146" s="551"/>
      <c r="L146" s="502"/>
      <c r="M146" s="518"/>
      <c r="N146" s="537"/>
    </row>
    <row r="147" spans="1:15" ht="15" customHeight="1" x14ac:dyDescent="0.25">
      <c r="A147" s="294">
        <f t="shared" si="14"/>
        <v>132</v>
      </c>
      <c r="B147" s="249" t="s">
        <v>28</v>
      </c>
      <c r="C147" s="228">
        <f t="shared" si="15"/>
        <v>12.553000000000001</v>
      </c>
      <c r="D147" s="522"/>
      <c r="E147" s="551">
        <f>11.103+2.2-0.75</f>
        <v>12.553000000000001</v>
      </c>
      <c r="F147" s="522"/>
      <c r="G147" s="523"/>
      <c r="H147" s="524"/>
      <c r="I147" s="523"/>
      <c r="J147" s="524"/>
      <c r="K147" s="551"/>
      <c r="L147" s="502"/>
      <c r="M147" s="518"/>
      <c r="N147" s="537"/>
    </row>
    <row r="148" spans="1:15" ht="15" customHeight="1" x14ac:dyDescent="0.25">
      <c r="A148" s="294">
        <f t="shared" si="14"/>
        <v>133</v>
      </c>
      <c r="B148" s="249" t="s">
        <v>105</v>
      </c>
      <c r="C148" s="228">
        <f t="shared" si="15"/>
        <v>110.371</v>
      </c>
      <c r="D148" s="522">
        <f>F148+H148+J148+L148</f>
        <v>81.98</v>
      </c>
      <c r="E148" s="551">
        <f>119.071-2.7-7-2</f>
        <v>107.371</v>
      </c>
      <c r="F148" s="522">
        <f>84.98-3</f>
        <v>81.98</v>
      </c>
      <c r="G148" s="523"/>
      <c r="H148" s="524"/>
      <c r="I148" s="523"/>
      <c r="J148" s="524"/>
      <c r="K148" s="551">
        <v>3</v>
      </c>
      <c r="L148" s="502"/>
      <c r="M148" s="518"/>
      <c r="N148" s="537"/>
    </row>
    <row r="149" spans="1:15" ht="15" customHeight="1" thickBot="1" x14ac:dyDescent="0.3">
      <c r="A149" s="330">
        <f t="shared" si="14"/>
        <v>134</v>
      </c>
      <c r="B149" s="257" t="s">
        <v>149</v>
      </c>
      <c r="C149" s="228">
        <f t="shared" si="15"/>
        <v>93.99799999999999</v>
      </c>
      <c r="D149" s="556">
        <f>F149+H149+J149+L149</f>
        <v>91.067999999999998</v>
      </c>
      <c r="E149" s="559">
        <f>98.898-4.9</f>
        <v>93.99799999999999</v>
      </c>
      <c r="F149" s="556">
        <f>95.968-4.9</f>
        <v>91.067999999999998</v>
      </c>
      <c r="G149" s="555"/>
      <c r="H149" s="589"/>
      <c r="I149" s="539"/>
      <c r="J149" s="589"/>
      <c r="K149" s="559"/>
      <c r="L149" s="552"/>
      <c r="M149" s="560"/>
      <c r="N149" s="561"/>
    </row>
    <row r="150" spans="1:15" ht="33" customHeight="1" thickBot="1" x14ac:dyDescent="0.3">
      <c r="A150" s="289">
        <f t="shared" si="14"/>
        <v>135</v>
      </c>
      <c r="B150" s="258" t="s">
        <v>171</v>
      </c>
      <c r="C150" s="228">
        <f t="shared" si="15"/>
        <v>13540.603570000001</v>
      </c>
      <c r="D150" s="624">
        <f>F150+H150+J150+L150+N150</f>
        <v>3154.6790599999995</v>
      </c>
      <c r="E150" s="563">
        <f>E151+SUM(E178:E190)+E192+E196</f>
        <v>6880.8353099999995</v>
      </c>
      <c r="F150" s="564">
        <f>F151+SUM(F178:F190)+F192+F196</f>
        <v>1781.2659999999998</v>
      </c>
      <c r="G150" s="563">
        <f>G151+SUM(G178:G190)+G192+G196</f>
        <v>5936.5192000000006</v>
      </c>
      <c r="H150" s="564">
        <f>H151+SUM(H178:H190)+H192+H196</f>
        <v>938.06808999999998</v>
      </c>
      <c r="I150" s="625"/>
      <c r="J150" s="626"/>
      <c r="K150" s="563">
        <f>K151+SUM(K178:K190)+K192+K196</f>
        <v>606.64499999999998</v>
      </c>
      <c r="L150" s="627">
        <f>L151+SUM(L178:L190)+L192+L196</f>
        <v>338.24095</v>
      </c>
      <c r="M150" s="627">
        <f t="shared" ref="M150:N150" si="16">M151+SUM(M178:M190)+M192+M196</f>
        <v>116.60406</v>
      </c>
      <c r="N150" s="627">
        <f t="shared" si="16"/>
        <v>97.104019999999991</v>
      </c>
    </row>
    <row r="151" spans="1:15" ht="15" customHeight="1" x14ac:dyDescent="0.25">
      <c r="A151" s="294">
        <f t="shared" si="14"/>
        <v>136</v>
      </c>
      <c r="B151" s="153" t="s">
        <v>265</v>
      </c>
      <c r="C151" s="506">
        <f t="shared" si="15"/>
        <v>8615.4824800000006</v>
      </c>
      <c r="D151" s="628">
        <f>F151+H151+J151+L151</f>
        <v>45</v>
      </c>
      <c r="E151" s="629">
        <f>SUM(E152:E177)</f>
        <v>4067.92328</v>
      </c>
      <c r="F151" s="628">
        <f>SUM(F152:F177)</f>
        <v>0</v>
      </c>
      <c r="G151" s="630">
        <f>SUM(G152:G177)</f>
        <v>4547.5592000000006</v>
      </c>
      <c r="H151" s="628">
        <f>SUM(H152:H171)</f>
        <v>45</v>
      </c>
      <c r="I151" s="631"/>
      <c r="J151" s="632"/>
      <c r="K151" s="631"/>
      <c r="L151" s="633"/>
      <c r="M151" s="236"/>
      <c r="N151" s="237"/>
    </row>
    <row r="152" spans="1:15" ht="15" customHeight="1" x14ac:dyDescent="0.25">
      <c r="A152" s="226">
        <f t="shared" si="14"/>
        <v>137</v>
      </c>
      <c r="B152" s="308" t="s">
        <v>57</v>
      </c>
      <c r="C152" s="228">
        <f t="shared" si="15"/>
        <v>1831.431</v>
      </c>
      <c r="D152" s="594"/>
      <c r="E152" s="583">
        <f>960+9.781</f>
        <v>969.78099999999995</v>
      </c>
      <c r="F152" s="505"/>
      <c r="G152" s="518">
        <f>1337.409+330-805.759</f>
        <v>861.65000000000009</v>
      </c>
      <c r="H152" s="77"/>
      <c r="I152" s="634"/>
      <c r="J152" s="635"/>
      <c r="K152" s="636"/>
      <c r="L152" s="637"/>
      <c r="M152" s="503"/>
      <c r="N152" s="504"/>
    </row>
    <row r="153" spans="1:15" ht="15" customHeight="1" x14ac:dyDescent="0.25">
      <c r="A153" s="226">
        <f t="shared" si="14"/>
        <v>138</v>
      </c>
      <c r="B153" s="296" t="s">
        <v>58</v>
      </c>
      <c r="C153" s="228">
        <f t="shared" si="15"/>
        <v>70</v>
      </c>
      <c r="D153" s="594"/>
      <c r="E153" s="12">
        <v>70</v>
      </c>
      <c r="F153" s="502"/>
      <c r="G153" s="621"/>
      <c r="H153" s="622"/>
      <c r="I153" s="510"/>
      <c r="J153" s="511"/>
      <c r="K153" s="512"/>
      <c r="L153" s="513"/>
      <c r="M153" s="503"/>
      <c r="N153" s="504"/>
    </row>
    <row r="154" spans="1:15" ht="15" customHeight="1" x14ac:dyDescent="0.25">
      <c r="A154" s="226">
        <f t="shared" si="14"/>
        <v>139</v>
      </c>
      <c r="B154" s="296" t="s">
        <v>59</v>
      </c>
      <c r="C154" s="228">
        <f t="shared" si="15"/>
        <v>119.89400000000001</v>
      </c>
      <c r="D154" s="594"/>
      <c r="E154" s="525">
        <f>84+40-4.106</f>
        <v>119.89400000000001</v>
      </c>
      <c r="F154" s="502"/>
      <c r="G154" s="523"/>
      <c r="H154" s="524"/>
      <c r="I154" s="510"/>
      <c r="J154" s="511"/>
      <c r="K154" s="512"/>
      <c r="L154" s="513"/>
      <c r="M154" s="503"/>
      <c r="N154" s="504"/>
    </row>
    <row r="155" spans="1:15" ht="15" customHeight="1" x14ac:dyDescent="0.25">
      <c r="A155" s="226">
        <f t="shared" si="14"/>
        <v>140</v>
      </c>
      <c r="B155" s="296" t="s">
        <v>60</v>
      </c>
      <c r="C155" s="228">
        <f t="shared" si="15"/>
        <v>17.943999999999999</v>
      </c>
      <c r="D155" s="594"/>
      <c r="E155" s="525">
        <f>10+7.944</f>
        <v>17.943999999999999</v>
      </c>
      <c r="F155" s="502"/>
      <c r="G155" s="523"/>
      <c r="H155" s="524"/>
      <c r="I155" s="510"/>
      <c r="J155" s="511"/>
      <c r="K155" s="512"/>
      <c r="L155" s="513"/>
      <c r="M155" s="503"/>
      <c r="N155" s="504"/>
    </row>
    <row r="156" spans="1:15" ht="15" customHeight="1" x14ac:dyDescent="0.25">
      <c r="A156" s="226">
        <f t="shared" si="14"/>
        <v>141</v>
      </c>
      <c r="B156" s="298" t="s">
        <v>462</v>
      </c>
      <c r="C156" s="506">
        <f t="shared" si="15"/>
        <v>100.00667</v>
      </c>
      <c r="D156" s="638">
        <f t="shared" ref="D156" si="17">F156+H156+J156+L156</f>
        <v>45</v>
      </c>
      <c r="E156" s="639"/>
      <c r="F156" s="582"/>
      <c r="G156" s="978">
        <f>109.309+0.69767-10</f>
        <v>100.00667</v>
      </c>
      <c r="H156" s="979">
        <v>45</v>
      </c>
      <c r="I156" s="510"/>
      <c r="J156" s="511"/>
      <c r="K156" s="512"/>
      <c r="L156" s="513"/>
      <c r="M156" s="503"/>
      <c r="N156" s="504"/>
      <c r="O156" s="177"/>
    </row>
    <row r="157" spans="1:15" ht="15" customHeight="1" x14ac:dyDescent="0.25">
      <c r="A157" s="226">
        <f t="shared" si="14"/>
        <v>142</v>
      </c>
      <c r="B157" s="298" t="s">
        <v>2</v>
      </c>
      <c r="C157" s="228">
        <f t="shared" si="15"/>
        <v>469.8</v>
      </c>
      <c r="D157" s="522"/>
      <c r="E157" s="525"/>
      <c r="F157" s="502"/>
      <c r="G157" s="523">
        <f>508.1-38.3</f>
        <v>469.8</v>
      </c>
      <c r="H157" s="524"/>
      <c r="I157" s="510"/>
      <c r="J157" s="511"/>
      <c r="K157" s="512"/>
      <c r="L157" s="513"/>
      <c r="M157" s="503"/>
      <c r="N157" s="504"/>
    </row>
    <row r="158" spans="1:15" ht="25.5" customHeight="1" x14ac:dyDescent="0.25">
      <c r="A158" s="226">
        <f t="shared" si="14"/>
        <v>143</v>
      </c>
      <c r="B158" s="298" t="s">
        <v>229</v>
      </c>
      <c r="C158" s="228">
        <f t="shared" si="15"/>
        <v>5.5</v>
      </c>
      <c r="D158" s="522"/>
      <c r="E158" s="525">
        <f>5+0.5</f>
        <v>5.5</v>
      </c>
      <c r="F158" s="502"/>
      <c r="G158" s="523"/>
      <c r="H158" s="524"/>
      <c r="I158" s="510"/>
      <c r="J158" s="511"/>
      <c r="K158" s="512"/>
      <c r="L158" s="513"/>
      <c r="M158" s="503"/>
      <c r="N158" s="504"/>
    </row>
    <row r="159" spans="1:15" ht="15" customHeight="1" x14ac:dyDescent="0.25">
      <c r="A159" s="226">
        <f>A158+1</f>
        <v>144</v>
      </c>
      <c r="B159" s="296" t="s">
        <v>62</v>
      </c>
      <c r="C159" s="228">
        <f t="shared" si="15"/>
        <v>1225.5</v>
      </c>
      <c r="D159" s="522"/>
      <c r="E159" s="525"/>
      <c r="F159" s="502"/>
      <c r="G159" s="518">
        <f>744.9+314.5+166.1</f>
        <v>1225.5</v>
      </c>
      <c r="H159" s="524"/>
      <c r="I159" s="510"/>
      <c r="J159" s="511"/>
      <c r="K159" s="512"/>
      <c r="L159" s="513"/>
      <c r="M159" s="503"/>
      <c r="N159" s="504"/>
    </row>
    <row r="160" spans="1:15" ht="15" customHeight="1" x14ac:dyDescent="0.25">
      <c r="A160" s="226">
        <f t="shared" si="14"/>
        <v>145</v>
      </c>
      <c r="B160" s="296" t="s">
        <v>63</v>
      </c>
      <c r="C160" s="228">
        <f t="shared" si="15"/>
        <v>3406.04</v>
      </c>
      <c r="D160" s="522"/>
      <c r="E160" s="583">
        <f>1890+20.34</f>
        <v>1910.34</v>
      </c>
      <c r="F160" s="502"/>
      <c r="G160" s="518">
        <f>1825.7-330</f>
        <v>1495.7</v>
      </c>
      <c r="H160" s="524"/>
      <c r="I160" s="510"/>
      <c r="J160" s="511"/>
      <c r="K160" s="512"/>
      <c r="L160" s="513"/>
      <c r="M160" s="503"/>
      <c r="N160" s="504"/>
    </row>
    <row r="161" spans="1:14" ht="15" customHeight="1" x14ac:dyDescent="0.25">
      <c r="A161" s="226">
        <f t="shared" si="14"/>
        <v>146</v>
      </c>
      <c r="B161" s="298" t="s">
        <v>251</v>
      </c>
      <c r="C161" s="228">
        <f t="shared" si="15"/>
        <v>26.154</v>
      </c>
      <c r="D161" s="640"/>
      <c r="E161" s="12">
        <f>24.807+1.347</f>
        <v>26.154</v>
      </c>
      <c r="F161" s="641"/>
      <c r="G161" s="642"/>
      <c r="H161" s="643"/>
      <c r="I161" s="644"/>
      <c r="J161" s="645"/>
      <c r="K161" s="646"/>
      <c r="L161" s="647"/>
      <c r="M161" s="503"/>
      <c r="N161" s="504"/>
    </row>
    <row r="162" spans="1:14" ht="15" customHeight="1" x14ac:dyDescent="0.25">
      <c r="A162" s="226">
        <f t="shared" si="14"/>
        <v>147</v>
      </c>
      <c r="B162" s="299" t="s">
        <v>414</v>
      </c>
      <c r="C162" s="228">
        <f t="shared" si="15"/>
        <v>8.34</v>
      </c>
      <c r="D162" s="522"/>
      <c r="E162" s="525">
        <f>10-1.66</f>
        <v>8.34</v>
      </c>
      <c r="F162" s="502"/>
      <c r="G162" s="523"/>
      <c r="H162" s="524"/>
      <c r="I162" s="510"/>
      <c r="J162" s="511"/>
      <c r="K162" s="512"/>
      <c r="L162" s="513"/>
      <c r="M162" s="503"/>
      <c r="N162" s="504"/>
    </row>
    <row r="163" spans="1:14" ht="15" customHeight="1" x14ac:dyDescent="0.25">
      <c r="A163" s="226">
        <f t="shared" si="14"/>
        <v>148</v>
      </c>
      <c r="B163" s="298" t="s">
        <v>413</v>
      </c>
      <c r="C163" s="228">
        <f t="shared" si="15"/>
        <v>114</v>
      </c>
      <c r="D163" s="522"/>
      <c r="E163" s="525">
        <f>110+4</f>
        <v>114</v>
      </c>
      <c r="F163" s="502"/>
      <c r="G163" s="523"/>
      <c r="H163" s="524"/>
      <c r="I163" s="510"/>
      <c r="J163" s="511"/>
      <c r="K163" s="512"/>
      <c r="L163" s="513"/>
      <c r="M163" s="503"/>
      <c r="N163" s="504"/>
    </row>
    <row r="164" spans="1:14" ht="15" customHeight="1" x14ac:dyDescent="0.25">
      <c r="A164" s="226">
        <f t="shared" si="14"/>
        <v>149</v>
      </c>
      <c r="B164" s="285" t="s">
        <v>222</v>
      </c>
      <c r="C164" s="228">
        <f t="shared" si="15"/>
        <v>2.234</v>
      </c>
      <c r="D164" s="648"/>
      <c r="E164" s="525">
        <f>7-4.766</f>
        <v>2.234</v>
      </c>
      <c r="F164" s="502"/>
      <c r="G164" s="523"/>
      <c r="H164" s="524"/>
      <c r="I164" s="510"/>
      <c r="J164" s="511"/>
      <c r="K164" s="512"/>
      <c r="L164" s="513"/>
      <c r="M164" s="503"/>
      <c r="N164" s="504"/>
    </row>
    <row r="165" spans="1:14" ht="15" customHeight="1" x14ac:dyDescent="0.25">
      <c r="A165" s="226">
        <f t="shared" si="14"/>
        <v>150</v>
      </c>
      <c r="B165" s="298" t="s">
        <v>463</v>
      </c>
      <c r="C165" s="228">
        <f t="shared" si="15"/>
        <v>574</v>
      </c>
      <c r="D165" s="579"/>
      <c r="E165" s="12">
        <f>414+160</f>
        <v>574</v>
      </c>
      <c r="F165" s="538"/>
      <c r="G165" s="539"/>
      <c r="H165" s="589"/>
      <c r="I165" s="510"/>
      <c r="J165" s="511"/>
      <c r="K165" s="512"/>
      <c r="L165" s="513"/>
      <c r="M165" s="503"/>
      <c r="N165" s="504"/>
    </row>
    <row r="166" spans="1:14" ht="15" customHeight="1" x14ac:dyDescent="0.25">
      <c r="A166" s="226">
        <f t="shared" si="14"/>
        <v>151</v>
      </c>
      <c r="B166" s="298" t="s">
        <v>432</v>
      </c>
      <c r="C166" s="228">
        <f t="shared" si="15"/>
        <v>176.1</v>
      </c>
      <c r="D166" s="537"/>
      <c r="E166" s="583"/>
      <c r="F166" s="517"/>
      <c r="G166" s="518">
        <f>178.6-2.5</f>
        <v>176.1</v>
      </c>
      <c r="H166" s="537"/>
      <c r="I166" s="510"/>
      <c r="J166" s="511"/>
      <c r="K166" s="512"/>
      <c r="L166" s="513"/>
      <c r="M166" s="503"/>
      <c r="N166" s="504"/>
    </row>
    <row r="167" spans="1:14" ht="27.75" customHeight="1" x14ac:dyDescent="0.25">
      <c r="A167" s="226">
        <f t="shared" si="14"/>
        <v>152</v>
      </c>
      <c r="B167" s="298" t="s">
        <v>433</v>
      </c>
      <c r="C167" s="228">
        <f t="shared" si="15"/>
        <v>89.640999999999991</v>
      </c>
      <c r="D167" s="537"/>
      <c r="E167" s="583"/>
      <c r="F167" s="517"/>
      <c r="G167" s="518">
        <f>107.07-8.59-8.839</f>
        <v>89.640999999999991</v>
      </c>
      <c r="H167" s="537"/>
      <c r="I167" s="510"/>
      <c r="J167" s="511"/>
      <c r="K167" s="512"/>
      <c r="L167" s="513"/>
      <c r="M167" s="503"/>
      <c r="N167" s="504"/>
    </row>
    <row r="168" spans="1:14" ht="15" customHeight="1" x14ac:dyDescent="0.25">
      <c r="A168" s="226">
        <f t="shared" si="14"/>
        <v>153</v>
      </c>
      <c r="B168" s="298" t="s">
        <v>425</v>
      </c>
      <c r="C168" s="228">
        <f t="shared" si="15"/>
        <v>24.678999999999998</v>
      </c>
      <c r="D168" s="537"/>
      <c r="E168" s="583"/>
      <c r="F168" s="517"/>
      <c r="G168" s="518">
        <v>24.678999999999998</v>
      </c>
      <c r="H168" s="537"/>
      <c r="I168" s="649"/>
      <c r="J168" s="650"/>
      <c r="K168" s="651"/>
      <c r="L168" s="652"/>
      <c r="M168" s="503"/>
      <c r="N168" s="504"/>
    </row>
    <row r="169" spans="1:14" ht="15" customHeight="1" x14ac:dyDescent="0.25">
      <c r="A169" s="226">
        <f t="shared" si="14"/>
        <v>154</v>
      </c>
      <c r="B169" s="309" t="s">
        <v>287</v>
      </c>
      <c r="C169" s="228">
        <f t="shared" si="15"/>
        <v>109.443</v>
      </c>
      <c r="D169" s="653"/>
      <c r="E169" s="980">
        <f>100+15-5.557</f>
        <v>109.443</v>
      </c>
      <c r="F169" s="654"/>
      <c r="G169" s="655"/>
      <c r="H169" s="653"/>
      <c r="I169" s="634"/>
      <c r="J169" s="635"/>
      <c r="K169" s="636"/>
      <c r="L169" s="637"/>
      <c r="M169" s="503"/>
      <c r="N169" s="504"/>
    </row>
    <row r="170" spans="1:14" ht="15" customHeight="1" x14ac:dyDescent="0.25">
      <c r="A170" s="226">
        <f t="shared" si="14"/>
        <v>155</v>
      </c>
      <c r="B170" s="298" t="s">
        <v>417</v>
      </c>
      <c r="C170" s="228">
        <f t="shared" si="15"/>
        <v>19</v>
      </c>
      <c r="D170" s="451"/>
      <c r="E170" s="431">
        <v>19</v>
      </c>
      <c r="F170" s="454"/>
      <c r="G170" s="453"/>
      <c r="H170" s="451"/>
      <c r="I170" s="510"/>
      <c r="J170" s="511"/>
      <c r="K170" s="512"/>
      <c r="L170" s="513"/>
      <c r="M170" s="503"/>
      <c r="N170" s="504"/>
    </row>
    <row r="171" spans="1:14" ht="15" customHeight="1" x14ac:dyDescent="0.25">
      <c r="A171" s="226">
        <f t="shared" si="14"/>
        <v>156</v>
      </c>
      <c r="B171" s="298" t="s">
        <v>418</v>
      </c>
      <c r="C171" s="228">
        <f t="shared" si="15"/>
        <v>12.7</v>
      </c>
      <c r="D171" s="451"/>
      <c r="E171" s="656">
        <f>10+3.5-0.8</f>
        <v>12.7</v>
      </c>
      <c r="F171" s="454"/>
      <c r="G171" s="453"/>
      <c r="H171" s="451"/>
      <c r="I171" s="510"/>
      <c r="J171" s="511"/>
      <c r="K171" s="512"/>
      <c r="L171" s="513"/>
      <c r="M171" s="503"/>
      <c r="N171" s="504"/>
    </row>
    <row r="172" spans="1:14" ht="15" customHeight="1" x14ac:dyDescent="0.25">
      <c r="A172" s="226">
        <f t="shared" si="14"/>
        <v>157</v>
      </c>
      <c r="B172" s="298" t="s">
        <v>434</v>
      </c>
      <c r="C172" s="228">
        <f t="shared" si="15"/>
        <v>19.791</v>
      </c>
      <c r="D172" s="451"/>
      <c r="E172" s="656">
        <f>15+4.791</f>
        <v>19.791</v>
      </c>
      <c r="F172" s="454"/>
      <c r="G172" s="657"/>
      <c r="H172" s="658"/>
      <c r="I172" s="510"/>
      <c r="J172" s="511"/>
      <c r="K172" s="512"/>
      <c r="L172" s="513"/>
      <c r="M172" s="503"/>
      <c r="N172" s="504"/>
    </row>
    <row r="173" spans="1:14" ht="25.5" customHeight="1" x14ac:dyDescent="0.25">
      <c r="A173" s="226">
        <f t="shared" si="14"/>
        <v>158</v>
      </c>
      <c r="B173" s="298" t="s">
        <v>474</v>
      </c>
      <c r="C173" s="506">
        <f t="shared" si="15"/>
        <v>66.842910000000003</v>
      </c>
      <c r="D173" s="659"/>
      <c r="E173" s="660"/>
      <c r="F173" s="661"/>
      <c r="G173" s="450">
        <f>51.45275+4.84667+5.24515+5.29834</f>
        <v>66.842910000000003</v>
      </c>
      <c r="H173" s="659"/>
      <c r="I173" s="510"/>
      <c r="J173" s="511"/>
      <c r="K173" s="512"/>
      <c r="L173" s="513"/>
      <c r="M173" s="503"/>
      <c r="N173" s="504"/>
    </row>
    <row r="174" spans="1:14" ht="16.5" customHeight="1" x14ac:dyDescent="0.25">
      <c r="A174" s="226">
        <f t="shared" si="14"/>
        <v>159</v>
      </c>
      <c r="B174" s="309" t="s">
        <v>489</v>
      </c>
      <c r="C174" s="1006">
        <f t="shared" si="15"/>
        <v>27.58962</v>
      </c>
      <c r="D174" s="659"/>
      <c r="E174" s="660"/>
      <c r="F174" s="662"/>
      <c r="G174" s="452">
        <v>27.58962</v>
      </c>
      <c r="H174" s="659"/>
      <c r="I174" s="510"/>
      <c r="J174" s="511"/>
      <c r="K174" s="512"/>
      <c r="L174" s="513"/>
      <c r="M174" s="503"/>
      <c r="N174" s="504"/>
    </row>
    <row r="175" spans="1:14" ht="29.25" customHeight="1" x14ac:dyDescent="0.25">
      <c r="A175" s="226">
        <f t="shared" si="14"/>
        <v>160</v>
      </c>
      <c r="B175" s="298" t="s">
        <v>546</v>
      </c>
      <c r="C175" s="506">
        <f t="shared" si="15"/>
        <v>38.802280000000003</v>
      </c>
      <c r="D175" s="659"/>
      <c r="E175" s="452">
        <v>38.802280000000003</v>
      </c>
      <c r="F175" s="454"/>
      <c r="G175" s="452"/>
      <c r="H175" s="659"/>
      <c r="I175" s="510"/>
      <c r="J175" s="511"/>
      <c r="K175" s="512"/>
      <c r="L175" s="513"/>
      <c r="M175" s="503"/>
      <c r="N175" s="504"/>
    </row>
    <row r="176" spans="1:14" ht="15" customHeight="1" x14ac:dyDescent="0.25">
      <c r="A176" s="226">
        <f t="shared" si="14"/>
        <v>161</v>
      </c>
      <c r="B176" s="310" t="s">
        <v>576</v>
      </c>
      <c r="C176" s="228">
        <f t="shared" si="15"/>
        <v>50</v>
      </c>
      <c r="D176" s="663"/>
      <c r="E176" s="453">
        <v>50</v>
      </c>
      <c r="F176" s="454"/>
      <c r="G176" s="452"/>
      <c r="H176" s="659"/>
      <c r="I176" s="510"/>
      <c r="J176" s="511"/>
      <c r="K176" s="512"/>
      <c r="L176" s="513"/>
      <c r="M176" s="503"/>
      <c r="N176" s="504"/>
    </row>
    <row r="177" spans="1:14" ht="51" customHeight="1" x14ac:dyDescent="0.25">
      <c r="A177" s="226">
        <f t="shared" si="14"/>
        <v>162</v>
      </c>
      <c r="B177" s="298" t="s">
        <v>547</v>
      </c>
      <c r="C177" s="228">
        <f t="shared" si="15"/>
        <v>10.050000000000001</v>
      </c>
      <c r="D177" s="663"/>
      <c r="E177" s="453"/>
      <c r="F177" s="454"/>
      <c r="G177" s="453">
        <f>2.547+2+5.503</f>
        <v>10.050000000000001</v>
      </c>
      <c r="H177" s="659"/>
      <c r="I177" s="510"/>
      <c r="J177" s="511"/>
      <c r="K177" s="512"/>
      <c r="L177" s="513"/>
      <c r="M177" s="503"/>
      <c r="N177" s="504"/>
    </row>
    <row r="178" spans="1:14" ht="15" customHeight="1" x14ac:dyDescent="0.25">
      <c r="A178" s="294">
        <f t="shared" si="14"/>
        <v>163</v>
      </c>
      <c r="B178" s="238" t="s">
        <v>27</v>
      </c>
      <c r="C178" s="232">
        <f t="shared" si="15"/>
        <v>1344.0030300000001</v>
      </c>
      <c r="D178" s="664">
        <f>F178+H178+J178+L178+N178</f>
        <v>1089.7718400000001</v>
      </c>
      <c r="E178" s="598">
        <v>994.84402999999998</v>
      </c>
      <c r="F178" s="540">
        <f>845.996+4</f>
        <v>849.99599999999998</v>
      </c>
      <c r="G178" s="665">
        <v>104.563</v>
      </c>
      <c r="H178" s="666">
        <v>59.662999999999997</v>
      </c>
      <c r="I178" s="528"/>
      <c r="J178" s="522"/>
      <c r="K178" s="551">
        <f>160+10</f>
        <v>170</v>
      </c>
      <c r="L178" s="521">
        <f>99.556+4+6</f>
        <v>109.556</v>
      </c>
      <c r="M178" s="503">
        <v>74.596000000000004</v>
      </c>
      <c r="N178" s="504">
        <v>70.556839999999994</v>
      </c>
    </row>
    <row r="179" spans="1:14" ht="15" customHeight="1" x14ac:dyDescent="0.25">
      <c r="A179" s="294">
        <f t="shared" si="14"/>
        <v>164</v>
      </c>
      <c r="B179" s="243" t="s">
        <v>250</v>
      </c>
      <c r="C179" s="506">
        <f t="shared" si="15"/>
        <v>1868.41291</v>
      </c>
      <c r="D179" s="1007">
        <f>F179+H179+J179+L179+N179</f>
        <v>1491.62084</v>
      </c>
      <c r="E179" s="531">
        <f>1108.608-33</f>
        <v>1075.6079999999999</v>
      </c>
      <c r="F179" s="540">
        <v>910.69899999999996</v>
      </c>
      <c r="G179" s="526">
        <f>711.996-88+40+5.505+3.796</f>
        <v>673.29700000000003</v>
      </c>
      <c r="H179" s="1005">
        <v>555.61216000000002</v>
      </c>
      <c r="I179" s="523"/>
      <c r="J179" s="524"/>
      <c r="K179" s="551">
        <f>58.745+34</f>
        <v>92.745000000000005</v>
      </c>
      <c r="L179" s="521"/>
      <c r="M179" s="503">
        <v>26.762910000000002</v>
      </c>
      <c r="N179" s="504">
        <v>25.30968</v>
      </c>
    </row>
    <row r="180" spans="1:14" ht="15" customHeight="1" x14ac:dyDescent="0.25">
      <c r="A180" s="294">
        <f t="shared" si="14"/>
        <v>165</v>
      </c>
      <c r="B180" s="240" t="s">
        <v>7</v>
      </c>
      <c r="C180" s="228">
        <f t="shared" si="15"/>
        <v>16.118000000000002</v>
      </c>
      <c r="D180" s="594"/>
      <c r="E180" s="531">
        <v>1.03</v>
      </c>
      <c r="F180" s="540"/>
      <c r="G180" s="526">
        <f>20.184-3.92-1.176</f>
        <v>15.088000000000003</v>
      </c>
      <c r="H180" s="594"/>
      <c r="I180" s="518"/>
      <c r="J180" s="537"/>
      <c r="K180" s="531"/>
      <c r="L180" s="540"/>
      <c r="M180" s="503"/>
      <c r="N180" s="504"/>
    </row>
    <row r="181" spans="1:14" ht="15" customHeight="1" x14ac:dyDescent="0.25">
      <c r="A181" s="294">
        <f t="shared" si="14"/>
        <v>166</v>
      </c>
      <c r="B181" s="240" t="s">
        <v>8</v>
      </c>
      <c r="C181" s="228">
        <f t="shared" si="15"/>
        <v>11.906000000000001</v>
      </c>
      <c r="D181" s="522"/>
      <c r="E181" s="551">
        <v>0.93</v>
      </c>
      <c r="F181" s="502"/>
      <c r="G181" s="528">
        <f>14.896-3.92</f>
        <v>10.976000000000001</v>
      </c>
      <c r="H181" s="522"/>
      <c r="I181" s="523"/>
      <c r="J181" s="524"/>
      <c r="K181" s="525"/>
      <c r="L181" s="502"/>
      <c r="M181" s="503"/>
      <c r="N181" s="504"/>
    </row>
    <row r="182" spans="1:14" ht="15" customHeight="1" x14ac:dyDescent="0.25">
      <c r="A182" s="294">
        <f t="shared" si="14"/>
        <v>167</v>
      </c>
      <c r="B182" s="240" t="s">
        <v>9</v>
      </c>
      <c r="C182" s="228">
        <f t="shared" si="15"/>
        <v>18.358000000000001</v>
      </c>
      <c r="D182" s="522"/>
      <c r="E182" s="551">
        <v>1.1100000000000001</v>
      </c>
      <c r="F182" s="502"/>
      <c r="G182" s="528">
        <v>17.248000000000001</v>
      </c>
      <c r="H182" s="522"/>
      <c r="I182" s="523"/>
      <c r="J182" s="524"/>
      <c r="K182" s="525"/>
      <c r="L182" s="502"/>
      <c r="M182" s="503"/>
      <c r="N182" s="504"/>
    </row>
    <row r="183" spans="1:14" ht="15" customHeight="1" x14ac:dyDescent="0.25">
      <c r="A183" s="294">
        <f t="shared" si="14"/>
        <v>168</v>
      </c>
      <c r="B183" s="240" t="s">
        <v>10</v>
      </c>
      <c r="C183" s="228">
        <f t="shared" si="15"/>
        <v>4.0279999999999996</v>
      </c>
      <c r="D183" s="522"/>
      <c r="E183" s="551">
        <v>0.5</v>
      </c>
      <c r="F183" s="502"/>
      <c r="G183" s="528">
        <f>6.664-3.136</f>
        <v>3.5279999999999996</v>
      </c>
      <c r="H183" s="522"/>
      <c r="I183" s="523"/>
      <c r="J183" s="524"/>
      <c r="K183" s="525"/>
      <c r="L183" s="502"/>
      <c r="M183" s="503"/>
      <c r="N183" s="504"/>
    </row>
    <row r="184" spans="1:14" ht="15" customHeight="1" x14ac:dyDescent="0.25">
      <c r="A184" s="294">
        <f t="shared" si="14"/>
        <v>169</v>
      </c>
      <c r="B184" s="240" t="s">
        <v>11</v>
      </c>
      <c r="C184" s="228">
        <f t="shared" si="15"/>
        <v>10.792</v>
      </c>
      <c r="D184" s="522"/>
      <c r="E184" s="551">
        <v>0.6</v>
      </c>
      <c r="F184" s="502"/>
      <c r="G184" s="528">
        <f>9.408+0.784</f>
        <v>10.192</v>
      </c>
      <c r="H184" s="522"/>
      <c r="I184" s="523"/>
      <c r="J184" s="524"/>
      <c r="K184" s="525"/>
      <c r="L184" s="502"/>
      <c r="M184" s="503"/>
      <c r="N184" s="504"/>
    </row>
    <row r="185" spans="1:14" ht="15" customHeight="1" x14ac:dyDescent="0.25">
      <c r="A185" s="294">
        <f t="shared" si="14"/>
        <v>170</v>
      </c>
      <c r="B185" s="240" t="s">
        <v>12</v>
      </c>
      <c r="C185" s="228">
        <f t="shared" si="15"/>
        <v>21.516000000000002</v>
      </c>
      <c r="D185" s="522"/>
      <c r="E185" s="551">
        <v>1.1399999999999999</v>
      </c>
      <c r="F185" s="502"/>
      <c r="G185" s="528">
        <f>27.832-6.28-1.176</f>
        <v>20.376000000000001</v>
      </c>
      <c r="H185" s="522"/>
      <c r="I185" s="523"/>
      <c r="J185" s="524"/>
      <c r="K185" s="525"/>
      <c r="L185" s="502"/>
      <c r="M185" s="503"/>
      <c r="N185" s="504"/>
    </row>
    <row r="186" spans="1:14" ht="15" customHeight="1" x14ac:dyDescent="0.25">
      <c r="A186" s="294">
        <f t="shared" si="14"/>
        <v>171</v>
      </c>
      <c r="B186" s="240" t="s">
        <v>13</v>
      </c>
      <c r="C186" s="228">
        <f t="shared" si="15"/>
        <v>22.578000000000003</v>
      </c>
      <c r="D186" s="522"/>
      <c r="E186" s="551">
        <v>1.41</v>
      </c>
      <c r="F186" s="502"/>
      <c r="G186" s="528">
        <f>21.952-0.784</f>
        <v>21.168000000000003</v>
      </c>
      <c r="H186" s="522"/>
      <c r="I186" s="523"/>
      <c r="J186" s="524"/>
      <c r="K186" s="525"/>
      <c r="L186" s="502"/>
      <c r="M186" s="503"/>
      <c r="N186" s="504"/>
    </row>
    <row r="187" spans="1:14" ht="15" customHeight="1" x14ac:dyDescent="0.25">
      <c r="A187" s="294">
        <f t="shared" si="14"/>
        <v>172</v>
      </c>
      <c r="B187" s="240" t="s">
        <v>14</v>
      </c>
      <c r="C187" s="228">
        <f t="shared" si="15"/>
        <v>10.932</v>
      </c>
      <c r="D187" s="522"/>
      <c r="E187" s="551">
        <v>0.74</v>
      </c>
      <c r="F187" s="502"/>
      <c r="G187" s="528">
        <f>10.976-0.784</f>
        <v>10.192</v>
      </c>
      <c r="H187" s="522"/>
      <c r="I187" s="523"/>
      <c r="J187" s="524"/>
      <c r="K187" s="525"/>
      <c r="L187" s="502"/>
      <c r="M187" s="503"/>
      <c r="N187" s="504"/>
    </row>
    <row r="188" spans="1:14" ht="15" customHeight="1" x14ac:dyDescent="0.25">
      <c r="A188" s="294">
        <f t="shared" si="14"/>
        <v>173</v>
      </c>
      <c r="B188" s="240" t="s">
        <v>28</v>
      </c>
      <c r="C188" s="228">
        <f t="shared" si="15"/>
        <v>37.404000000000003</v>
      </c>
      <c r="D188" s="522"/>
      <c r="E188" s="551">
        <f>1.596+1.58</f>
        <v>3.1760000000000002</v>
      </c>
      <c r="F188" s="502"/>
      <c r="G188" s="528">
        <f>31.36+2.868</f>
        <v>34.228000000000002</v>
      </c>
      <c r="H188" s="522"/>
      <c r="I188" s="523"/>
      <c r="J188" s="524"/>
      <c r="K188" s="525"/>
      <c r="L188" s="502"/>
      <c r="M188" s="503"/>
      <c r="N188" s="504"/>
    </row>
    <row r="189" spans="1:14" ht="15" customHeight="1" x14ac:dyDescent="0.25">
      <c r="A189" s="294">
        <f t="shared" si="14"/>
        <v>174</v>
      </c>
      <c r="B189" s="240" t="s">
        <v>16</v>
      </c>
      <c r="C189" s="228">
        <f t="shared" si="15"/>
        <v>81.163999999999987</v>
      </c>
      <c r="D189" s="522"/>
      <c r="E189" s="551">
        <v>0.96</v>
      </c>
      <c r="F189" s="502"/>
      <c r="G189" s="528">
        <f>94.58-14.376</f>
        <v>80.203999999999994</v>
      </c>
      <c r="H189" s="522"/>
      <c r="I189" s="523"/>
      <c r="J189" s="524"/>
      <c r="K189" s="525"/>
      <c r="L189" s="502"/>
      <c r="M189" s="503"/>
      <c r="N189" s="504"/>
    </row>
    <row r="190" spans="1:14" ht="15" customHeight="1" x14ac:dyDescent="0.25">
      <c r="A190" s="294">
        <f t="shared" si="14"/>
        <v>175</v>
      </c>
      <c r="B190" s="240" t="s">
        <v>112</v>
      </c>
      <c r="C190" s="228">
        <f t="shared" si="15"/>
        <v>100</v>
      </c>
      <c r="D190" s="667">
        <f t="shared" ref="D190" si="18">F190+H190+J190+L190</f>
        <v>97.876000000000005</v>
      </c>
      <c r="E190" s="525"/>
      <c r="F190" s="502"/>
      <c r="G190" s="668">
        <f>G191</f>
        <v>100</v>
      </c>
      <c r="H190" s="667">
        <f>H191</f>
        <v>97.876000000000005</v>
      </c>
      <c r="I190" s="523"/>
      <c r="J190" s="524"/>
      <c r="K190" s="525"/>
      <c r="L190" s="502"/>
      <c r="M190" s="503"/>
      <c r="N190" s="504"/>
    </row>
    <row r="191" spans="1:14" ht="15" customHeight="1" x14ac:dyDescent="0.25">
      <c r="A191" s="226">
        <f t="shared" si="14"/>
        <v>176</v>
      </c>
      <c r="B191" s="296" t="s">
        <v>237</v>
      </c>
      <c r="C191" s="228">
        <f t="shared" si="15"/>
        <v>100</v>
      </c>
      <c r="D191" s="524">
        <f>F191+H191+J191+L191</f>
        <v>97.876000000000005</v>
      </c>
      <c r="E191" s="525"/>
      <c r="F191" s="502"/>
      <c r="G191" s="523">
        <v>100</v>
      </c>
      <c r="H191" s="524">
        <v>97.876000000000005</v>
      </c>
      <c r="I191" s="523"/>
      <c r="J191" s="524"/>
      <c r="K191" s="525"/>
      <c r="L191" s="502"/>
      <c r="M191" s="503"/>
      <c r="N191" s="504"/>
    </row>
    <row r="192" spans="1:14" ht="15" customHeight="1" x14ac:dyDescent="0.25">
      <c r="A192" s="294">
        <f t="shared" si="14"/>
        <v>177</v>
      </c>
      <c r="B192" s="240" t="s">
        <v>230</v>
      </c>
      <c r="C192" s="228">
        <f t="shared" si="15"/>
        <v>705.58600000000001</v>
      </c>
      <c r="D192" s="524"/>
      <c r="E192" s="559">
        <f>SUM(E193:E195)</f>
        <v>705.58600000000001</v>
      </c>
      <c r="F192" s="521"/>
      <c r="G192" s="523"/>
      <c r="H192" s="524"/>
      <c r="I192" s="523"/>
      <c r="J192" s="524"/>
      <c r="K192" s="525"/>
      <c r="L192" s="502"/>
      <c r="M192" s="503"/>
      <c r="N192" s="504"/>
    </row>
    <row r="193" spans="1:14" ht="26.25" customHeight="1" x14ac:dyDescent="0.25">
      <c r="A193" s="226">
        <f t="shared" si="14"/>
        <v>178</v>
      </c>
      <c r="B193" s="298" t="s">
        <v>419</v>
      </c>
      <c r="C193" s="228">
        <f t="shared" si="15"/>
        <v>690.48599999999999</v>
      </c>
      <c r="D193" s="537"/>
      <c r="E193" s="583">
        <f>513.5+113.583+63.403</f>
        <v>690.48599999999999</v>
      </c>
      <c r="F193" s="669"/>
      <c r="G193" s="523"/>
      <c r="H193" s="524"/>
      <c r="I193" s="523"/>
      <c r="J193" s="524"/>
      <c r="K193" s="525"/>
      <c r="L193" s="502"/>
      <c r="M193" s="503"/>
      <c r="N193" s="504"/>
    </row>
    <row r="194" spans="1:14" ht="15" customHeight="1" x14ac:dyDescent="0.25">
      <c r="A194" s="226">
        <f t="shared" si="14"/>
        <v>179</v>
      </c>
      <c r="B194" s="296" t="s">
        <v>69</v>
      </c>
      <c r="C194" s="228">
        <f t="shared" si="15"/>
        <v>0.1</v>
      </c>
      <c r="D194" s="524"/>
      <c r="E194" s="535">
        <v>0.1</v>
      </c>
      <c r="F194" s="502"/>
      <c r="G194" s="523"/>
      <c r="H194" s="524"/>
      <c r="I194" s="523"/>
      <c r="J194" s="524"/>
      <c r="K194" s="525"/>
      <c r="L194" s="502"/>
      <c r="M194" s="503"/>
      <c r="N194" s="504"/>
    </row>
    <row r="195" spans="1:14" ht="15" customHeight="1" x14ac:dyDescent="0.25">
      <c r="A195" s="226">
        <f t="shared" si="14"/>
        <v>180</v>
      </c>
      <c r="B195" s="311" t="s">
        <v>223</v>
      </c>
      <c r="C195" s="228">
        <f t="shared" si="15"/>
        <v>15</v>
      </c>
      <c r="D195" s="524"/>
      <c r="E195" s="525">
        <v>15</v>
      </c>
      <c r="F195" s="502"/>
      <c r="G195" s="539"/>
      <c r="H195" s="589"/>
      <c r="I195" s="523"/>
      <c r="J195" s="524"/>
      <c r="K195" s="530"/>
      <c r="L195" s="538"/>
      <c r="M195" s="503"/>
      <c r="N195" s="504"/>
    </row>
    <row r="196" spans="1:14" ht="15" customHeight="1" thickBot="1" x14ac:dyDescent="0.3">
      <c r="A196" s="330">
        <f t="shared" si="14"/>
        <v>181</v>
      </c>
      <c r="B196" s="259" t="s">
        <v>6</v>
      </c>
      <c r="C196" s="506">
        <f t="shared" si="15"/>
        <v>672.32314999999994</v>
      </c>
      <c r="D196" s="670">
        <f>F196+H196+J196+L196+N196</f>
        <v>430.41038000000003</v>
      </c>
      <c r="E196" s="559">
        <f>24.378+0.9</f>
        <v>25.277999999999999</v>
      </c>
      <c r="F196" s="552">
        <f>19.771+0.8</f>
        <v>20.571000000000002</v>
      </c>
      <c r="G196" s="49">
        <v>287.89999999999998</v>
      </c>
      <c r="H196" s="51">
        <f>185.21-5.29307</f>
        <v>179.91693000000001</v>
      </c>
      <c r="I196" s="553"/>
      <c r="J196" s="554"/>
      <c r="K196" s="730">
        <f>336.4+4.17515+3.32485</f>
        <v>343.9</v>
      </c>
      <c r="L196" s="671">
        <f>213.603+10.9068+4.17515</f>
        <v>228.68495000000001</v>
      </c>
      <c r="M196" s="612">
        <v>15.245150000000001</v>
      </c>
      <c r="N196" s="613">
        <v>1.2375</v>
      </c>
    </row>
    <row r="197" spans="1:14" ht="30" customHeight="1" thickBot="1" x14ac:dyDescent="0.3">
      <c r="A197" s="289">
        <f t="shared" si="14"/>
        <v>182</v>
      </c>
      <c r="B197" s="260" t="s">
        <v>238</v>
      </c>
      <c r="C197" s="228">
        <f t="shared" si="15"/>
        <v>7461.9899600000008</v>
      </c>
      <c r="D197" s="672"/>
      <c r="E197" s="673">
        <f>E198+E208+SUM(E214:E223)+E212</f>
        <v>2613.4451100000001</v>
      </c>
      <c r="F197" s="674"/>
      <c r="G197" s="675">
        <f>G198+G208+SUM(G214:G223)</f>
        <v>4845.0448500000002</v>
      </c>
      <c r="H197" s="676"/>
      <c r="I197" s="677"/>
      <c r="J197" s="674"/>
      <c r="K197" s="565">
        <f>K198+K208+SUM(K214:K223)</f>
        <v>3.5</v>
      </c>
      <c r="L197" s="678"/>
      <c r="M197" s="679"/>
      <c r="N197" s="680"/>
    </row>
    <row r="198" spans="1:14" ht="15" customHeight="1" x14ac:dyDescent="0.25">
      <c r="A198" s="294">
        <f t="shared" si="14"/>
        <v>183</v>
      </c>
      <c r="B198" s="261" t="s">
        <v>233</v>
      </c>
      <c r="C198" s="228">
        <f t="shared" si="15"/>
        <v>6261.50396</v>
      </c>
      <c r="D198" s="681"/>
      <c r="E198" s="682">
        <f>SUM(E199:E207)</f>
        <v>1416.45911</v>
      </c>
      <c r="F198" s="681"/>
      <c r="G198" s="683">
        <f>G202+G206+G200</f>
        <v>4845.0448500000002</v>
      </c>
      <c r="H198" s="684"/>
      <c r="I198" s="685"/>
      <c r="J198" s="686"/>
      <c r="K198" s="685"/>
      <c r="L198" s="687"/>
      <c r="M198" s="236"/>
      <c r="N198" s="237"/>
    </row>
    <row r="199" spans="1:14" ht="15" customHeight="1" x14ac:dyDescent="0.25">
      <c r="A199" s="226">
        <f t="shared" si="14"/>
        <v>184</v>
      </c>
      <c r="B199" s="312" t="s">
        <v>71</v>
      </c>
      <c r="C199" s="228">
        <f t="shared" si="15"/>
        <v>160</v>
      </c>
      <c r="D199" s="688"/>
      <c r="E199" s="12">
        <f>163-1-2</f>
        <v>160</v>
      </c>
      <c r="F199" s="681"/>
      <c r="G199" s="689"/>
      <c r="H199" s="681"/>
      <c r="I199" s="634"/>
      <c r="J199" s="635"/>
      <c r="K199" s="636"/>
      <c r="L199" s="637"/>
      <c r="M199" s="503"/>
      <c r="N199" s="504"/>
    </row>
    <row r="200" spans="1:14" ht="25.5" customHeight="1" x14ac:dyDescent="0.25">
      <c r="A200" s="226">
        <f t="shared" si="14"/>
        <v>185</v>
      </c>
      <c r="B200" s="313" t="s">
        <v>412</v>
      </c>
      <c r="C200" s="228">
        <f t="shared" si="15"/>
        <v>691.97974999999997</v>
      </c>
      <c r="D200" s="690"/>
      <c r="E200" s="731">
        <f>413.7349+100+80</f>
        <v>593.73489999999993</v>
      </c>
      <c r="F200" s="690"/>
      <c r="G200" s="581">
        <f>91.30675+3.67433+3.26377</f>
        <v>98.244849999999985</v>
      </c>
      <c r="H200" s="690"/>
      <c r="I200" s="634"/>
      <c r="J200" s="635"/>
      <c r="K200" s="636"/>
      <c r="L200" s="637"/>
      <c r="M200" s="503"/>
      <c r="N200" s="504"/>
    </row>
    <row r="201" spans="1:14" ht="25.5" customHeight="1" x14ac:dyDescent="0.25">
      <c r="A201" s="226">
        <f t="shared" si="14"/>
        <v>186</v>
      </c>
      <c r="B201" s="255" t="s">
        <v>420</v>
      </c>
      <c r="C201" s="228">
        <f t="shared" si="15"/>
        <v>14.5</v>
      </c>
      <c r="D201" s="593"/>
      <c r="E201" s="583">
        <f>10+1.5+1+2</f>
        <v>14.5</v>
      </c>
      <c r="F201" s="622"/>
      <c r="G201" s="621"/>
      <c r="H201" s="622"/>
      <c r="I201" s="523"/>
      <c r="J201" s="524"/>
      <c r="K201" s="525"/>
      <c r="L201" s="513"/>
      <c r="M201" s="503"/>
      <c r="N201" s="504"/>
    </row>
    <row r="202" spans="1:14" ht="27" customHeight="1" x14ac:dyDescent="0.25">
      <c r="A202" s="226">
        <f t="shared" si="14"/>
        <v>187</v>
      </c>
      <c r="B202" s="255" t="s">
        <v>431</v>
      </c>
      <c r="C202" s="228">
        <f t="shared" si="15"/>
        <v>2253</v>
      </c>
      <c r="D202" s="593"/>
      <c r="E202" s="583"/>
      <c r="F202" s="537"/>
      <c r="G202" s="12">
        <f>1587+666</f>
        <v>2253</v>
      </c>
      <c r="H202" s="537"/>
      <c r="I202" s="523"/>
      <c r="J202" s="524"/>
      <c r="K202" s="525"/>
      <c r="L202" s="513"/>
      <c r="M202" s="503"/>
      <c r="N202" s="504"/>
    </row>
    <row r="203" spans="1:14" ht="15" customHeight="1" x14ac:dyDescent="0.25">
      <c r="A203" s="226">
        <f t="shared" si="14"/>
        <v>188</v>
      </c>
      <c r="B203" s="255" t="s">
        <v>249</v>
      </c>
      <c r="C203" s="228">
        <f t="shared" si="15"/>
        <v>55</v>
      </c>
      <c r="D203" s="593"/>
      <c r="E203" s="583">
        <v>55</v>
      </c>
      <c r="F203" s="537"/>
      <c r="G203" s="518"/>
      <c r="H203" s="537"/>
      <c r="I203" s="523"/>
      <c r="J203" s="524"/>
      <c r="K203" s="525"/>
      <c r="L203" s="513"/>
      <c r="M203" s="503"/>
      <c r="N203" s="504"/>
    </row>
    <row r="204" spans="1:14" ht="15" customHeight="1" x14ac:dyDescent="0.25">
      <c r="A204" s="226">
        <f t="shared" si="14"/>
        <v>189</v>
      </c>
      <c r="B204" s="255" t="s">
        <v>252</v>
      </c>
      <c r="C204" s="228">
        <f t="shared" si="15"/>
        <v>0</v>
      </c>
      <c r="D204" s="537"/>
      <c r="E204" s="583">
        <f>3-1.5-1.5</f>
        <v>0</v>
      </c>
      <c r="F204" s="537"/>
      <c r="G204" s="518"/>
      <c r="H204" s="691"/>
      <c r="I204" s="523"/>
      <c r="J204" s="524"/>
      <c r="K204" s="525"/>
      <c r="L204" s="513"/>
      <c r="M204" s="503"/>
      <c r="N204" s="504"/>
    </row>
    <row r="205" spans="1:14" ht="15" customHeight="1" x14ac:dyDescent="0.25">
      <c r="A205" s="226">
        <f t="shared" si="14"/>
        <v>190</v>
      </c>
      <c r="B205" s="303" t="s">
        <v>72</v>
      </c>
      <c r="C205" s="228">
        <f t="shared" si="15"/>
        <v>400</v>
      </c>
      <c r="D205" s="537"/>
      <c r="E205" s="535">
        <v>400</v>
      </c>
      <c r="F205" s="692"/>
      <c r="G205" s="518"/>
      <c r="H205" s="691"/>
      <c r="I205" s="523"/>
      <c r="J205" s="524"/>
      <c r="K205" s="525"/>
      <c r="L205" s="513"/>
      <c r="M205" s="503"/>
      <c r="N205" s="504"/>
    </row>
    <row r="206" spans="1:14" ht="15" customHeight="1" x14ac:dyDescent="0.25">
      <c r="A206" s="226">
        <f t="shared" si="14"/>
        <v>191</v>
      </c>
      <c r="B206" s="314" t="s">
        <v>213</v>
      </c>
      <c r="C206" s="506">
        <f t="shared" si="15"/>
        <v>2607.02421</v>
      </c>
      <c r="D206" s="537"/>
      <c r="E206" s="581">
        <f>103.92421+7.8+1.5</f>
        <v>113.22421</v>
      </c>
      <c r="F206" s="549"/>
      <c r="G206" s="518">
        <v>2493.8000000000002</v>
      </c>
      <c r="H206" s="691"/>
      <c r="I206" s="523"/>
      <c r="J206" s="524"/>
      <c r="K206" s="525"/>
      <c r="L206" s="513"/>
      <c r="M206" s="503"/>
      <c r="N206" s="504"/>
    </row>
    <row r="207" spans="1:14" ht="15" customHeight="1" x14ac:dyDescent="0.25">
      <c r="A207" s="226">
        <f t="shared" si="14"/>
        <v>192</v>
      </c>
      <c r="B207" s="303" t="s">
        <v>220</v>
      </c>
      <c r="C207" s="228">
        <f t="shared" si="15"/>
        <v>80</v>
      </c>
      <c r="D207" s="524"/>
      <c r="E207" s="525">
        <v>80</v>
      </c>
      <c r="F207" s="541"/>
      <c r="G207" s="621"/>
      <c r="H207" s="541"/>
      <c r="I207" s="523"/>
      <c r="J207" s="541"/>
      <c r="K207" s="525"/>
      <c r="L207" s="693"/>
      <c r="M207" s="503"/>
      <c r="N207" s="504"/>
    </row>
    <row r="208" spans="1:14" ht="15" customHeight="1" x14ac:dyDescent="0.25">
      <c r="A208" s="294">
        <f t="shared" si="14"/>
        <v>193</v>
      </c>
      <c r="B208" s="249" t="s">
        <v>263</v>
      </c>
      <c r="C208" s="228">
        <f t="shared" si="15"/>
        <v>170.25799999999998</v>
      </c>
      <c r="D208" s="522"/>
      <c r="E208" s="551">
        <f>SUM(E209:E211)</f>
        <v>170.25799999999998</v>
      </c>
      <c r="F208" s="541"/>
      <c r="G208" s="523"/>
      <c r="H208" s="541"/>
      <c r="I208" s="523"/>
      <c r="J208" s="541"/>
      <c r="K208" s="525"/>
      <c r="L208" s="693"/>
      <c r="M208" s="503"/>
      <c r="N208" s="504"/>
    </row>
    <row r="209" spans="1:14" ht="15" customHeight="1" x14ac:dyDescent="0.25">
      <c r="A209" s="226">
        <f t="shared" si="14"/>
        <v>194</v>
      </c>
      <c r="B209" s="255" t="s">
        <v>228</v>
      </c>
      <c r="C209" s="228">
        <f t="shared" si="15"/>
        <v>74.5</v>
      </c>
      <c r="D209" s="524"/>
      <c r="E209" s="525">
        <v>74.5</v>
      </c>
      <c r="F209" s="524"/>
      <c r="G209" s="523"/>
      <c r="H209" s="524"/>
      <c r="I209" s="523"/>
      <c r="J209" s="524"/>
      <c r="K209" s="525"/>
      <c r="L209" s="513"/>
      <c r="M209" s="503"/>
      <c r="N209" s="504"/>
    </row>
    <row r="210" spans="1:14" ht="27" customHeight="1" x14ac:dyDescent="0.25">
      <c r="A210" s="226">
        <f t="shared" ref="A210:A243" si="19">A209+1</f>
        <v>195</v>
      </c>
      <c r="B210" s="305" t="s">
        <v>253</v>
      </c>
      <c r="C210" s="228">
        <f t="shared" ref="C210:C243" si="20">E210+G210+I210+K210+M210</f>
        <v>45.757999999999996</v>
      </c>
      <c r="D210" s="537"/>
      <c r="E210" s="583">
        <f>95-24-25.242</f>
        <v>45.757999999999996</v>
      </c>
      <c r="F210" s="524"/>
      <c r="G210" s="523"/>
      <c r="H210" s="524"/>
      <c r="I210" s="523"/>
      <c r="J210" s="524"/>
      <c r="K210" s="525"/>
      <c r="L210" s="513"/>
      <c r="M210" s="503"/>
      <c r="N210" s="504"/>
    </row>
    <row r="211" spans="1:14" ht="15" customHeight="1" x14ac:dyDescent="0.25">
      <c r="A211" s="226">
        <f t="shared" si="19"/>
        <v>196</v>
      </c>
      <c r="B211" s="305" t="s">
        <v>442</v>
      </c>
      <c r="C211" s="228">
        <f t="shared" si="20"/>
        <v>50</v>
      </c>
      <c r="D211" s="524"/>
      <c r="E211" s="525">
        <v>50</v>
      </c>
      <c r="F211" s="524"/>
      <c r="G211" s="523"/>
      <c r="H211" s="524"/>
      <c r="I211" s="523"/>
      <c r="J211" s="524"/>
      <c r="K211" s="525"/>
      <c r="L211" s="513"/>
      <c r="M211" s="503"/>
      <c r="N211" s="504"/>
    </row>
    <row r="212" spans="1:14" ht="15" customHeight="1" x14ac:dyDescent="0.25">
      <c r="A212" s="294">
        <f t="shared" si="19"/>
        <v>197</v>
      </c>
      <c r="B212" s="295" t="s">
        <v>230</v>
      </c>
      <c r="C212" s="228">
        <f t="shared" si="20"/>
        <v>1.617</v>
      </c>
      <c r="D212" s="522"/>
      <c r="E212" s="551">
        <v>1.617</v>
      </c>
      <c r="F212" s="524"/>
      <c r="G212" s="523"/>
      <c r="H212" s="524"/>
      <c r="I212" s="523"/>
      <c r="J212" s="524"/>
      <c r="K212" s="525"/>
      <c r="L212" s="513"/>
      <c r="M212" s="503"/>
      <c r="N212" s="504"/>
    </row>
    <row r="213" spans="1:14" ht="15" customHeight="1" x14ac:dyDescent="0.25">
      <c r="A213" s="226">
        <f t="shared" si="19"/>
        <v>198</v>
      </c>
      <c r="B213" s="315" t="s">
        <v>667</v>
      </c>
      <c r="C213" s="228">
        <f t="shared" si="20"/>
        <v>1.617</v>
      </c>
      <c r="D213" s="524"/>
      <c r="E213" s="525">
        <v>1.617</v>
      </c>
      <c r="F213" s="524"/>
      <c r="G213" s="523"/>
      <c r="H213" s="524"/>
      <c r="I213" s="523"/>
      <c r="J213" s="524"/>
      <c r="K213" s="525"/>
      <c r="L213" s="513"/>
      <c r="M213" s="503"/>
      <c r="N213" s="504"/>
    </row>
    <row r="214" spans="1:14" ht="15" customHeight="1" x14ac:dyDescent="0.25">
      <c r="A214" s="294">
        <f t="shared" si="19"/>
        <v>199</v>
      </c>
      <c r="B214" s="249" t="s">
        <v>7</v>
      </c>
      <c r="C214" s="228">
        <f t="shared" si="20"/>
        <v>71.180000000000007</v>
      </c>
      <c r="D214" s="522"/>
      <c r="E214" s="551">
        <f>64.68+6</f>
        <v>70.680000000000007</v>
      </c>
      <c r="F214" s="524"/>
      <c r="G214" s="523"/>
      <c r="H214" s="524"/>
      <c r="I214" s="523"/>
      <c r="J214" s="524"/>
      <c r="K214" s="551">
        <v>0.5</v>
      </c>
      <c r="L214" s="513"/>
      <c r="M214" s="503"/>
      <c r="N214" s="504"/>
    </row>
    <row r="215" spans="1:14" ht="15" customHeight="1" x14ac:dyDescent="0.25">
      <c r="A215" s="294">
        <f t="shared" si="19"/>
        <v>200</v>
      </c>
      <c r="B215" s="249" t="s">
        <v>8</v>
      </c>
      <c r="C215" s="228">
        <f t="shared" si="20"/>
        <v>42.941000000000003</v>
      </c>
      <c r="D215" s="522"/>
      <c r="E215" s="551">
        <f>19.941+22+1</f>
        <v>42.941000000000003</v>
      </c>
      <c r="F215" s="522"/>
      <c r="G215" s="523"/>
      <c r="H215" s="524"/>
      <c r="I215" s="523"/>
      <c r="J215" s="524"/>
      <c r="K215" s="551"/>
      <c r="L215" s="694"/>
      <c r="M215" s="503"/>
      <c r="N215" s="504"/>
    </row>
    <row r="216" spans="1:14" ht="15" customHeight="1" x14ac:dyDescent="0.25">
      <c r="A216" s="294">
        <f t="shared" si="19"/>
        <v>201</v>
      </c>
      <c r="B216" s="249" t="s">
        <v>9</v>
      </c>
      <c r="C216" s="228">
        <f t="shared" si="20"/>
        <v>57.357999999999997</v>
      </c>
      <c r="D216" s="522"/>
      <c r="E216" s="551">
        <v>54.357999999999997</v>
      </c>
      <c r="F216" s="522"/>
      <c r="G216" s="523"/>
      <c r="H216" s="524"/>
      <c r="I216" s="523"/>
      <c r="J216" s="524"/>
      <c r="K216" s="551">
        <v>3</v>
      </c>
      <c r="L216" s="694"/>
      <c r="M216" s="503"/>
      <c r="N216" s="504"/>
    </row>
    <row r="217" spans="1:14" ht="15" customHeight="1" x14ac:dyDescent="0.25">
      <c r="A217" s="294">
        <f t="shared" si="19"/>
        <v>202</v>
      </c>
      <c r="B217" s="249" t="s">
        <v>10</v>
      </c>
      <c r="C217" s="228">
        <f t="shared" si="20"/>
        <v>5.69</v>
      </c>
      <c r="D217" s="522"/>
      <c r="E217" s="551">
        <v>5.69</v>
      </c>
      <c r="F217" s="522"/>
      <c r="G217" s="523"/>
      <c r="H217" s="524"/>
      <c r="I217" s="523"/>
      <c r="J217" s="524"/>
      <c r="K217" s="551"/>
      <c r="L217" s="694"/>
      <c r="M217" s="503"/>
      <c r="N217" s="504"/>
    </row>
    <row r="218" spans="1:14" ht="15" customHeight="1" x14ac:dyDescent="0.25">
      <c r="A218" s="294">
        <f t="shared" si="19"/>
        <v>203</v>
      </c>
      <c r="B218" s="249" t="s">
        <v>11</v>
      </c>
      <c r="C218" s="228">
        <f t="shared" si="20"/>
        <v>34.021999999999998</v>
      </c>
      <c r="D218" s="522"/>
      <c r="E218" s="551">
        <f>49.022-15</f>
        <v>34.021999999999998</v>
      </c>
      <c r="F218" s="522"/>
      <c r="G218" s="523"/>
      <c r="H218" s="524"/>
      <c r="I218" s="523"/>
      <c r="J218" s="524"/>
      <c r="K218" s="551"/>
      <c r="L218" s="694"/>
      <c r="M218" s="503"/>
      <c r="N218" s="504"/>
    </row>
    <row r="219" spans="1:14" ht="15" customHeight="1" x14ac:dyDescent="0.25">
      <c r="A219" s="294">
        <f t="shared" si="19"/>
        <v>204</v>
      </c>
      <c r="B219" s="249" t="s">
        <v>12</v>
      </c>
      <c r="C219" s="228">
        <f t="shared" si="20"/>
        <v>85.594000000000008</v>
      </c>
      <c r="D219" s="522"/>
      <c r="E219" s="551">
        <f>79.394+5.5+0.7</f>
        <v>85.594000000000008</v>
      </c>
      <c r="F219" s="522"/>
      <c r="G219" s="523"/>
      <c r="H219" s="524"/>
      <c r="I219" s="523"/>
      <c r="J219" s="524"/>
      <c r="K219" s="551"/>
      <c r="L219" s="694"/>
      <c r="M219" s="503"/>
      <c r="N219" s="504"/>
    </row>
    <row r="220" spans="1:14" ht="15" customHeight="1" x14ac:dyDescent="0.25">
      <c r="A220" s="294">
        <f t="shared" si="19"/>
        <v>205</v>
      </c>
      <c r="B220" s="249" t="s">
        <v>13</v>
      </c>
      <c r="C220" s="228">
        <f t="shared" si="20"/>
        <v>132.50299999999999</v>
      </c>
      <c r="D220" s="522"/>
      <c r="E220" s="551">
        <f>107.503+25</f>
        <v>132.50299999999999</v>
      </c>
      <c r="F220" s="522"/>
      <c r="G220" s="523"/>
      <c r="H220" s="524"/>
      <c r="I220" s="523"/>
      <c r="J220" s="524"/>
      <c r="K220" s="551"/>
      <c r="L220" s="694"/>
      <c r="M220" s="503"/>
      <c r="N220" s="504"/>
    </row>
    <row r="221" spans="1:14" ht="15" customHeight="1" x14ac:dyDescent="0.25">
      <c r="A221" s="294">
        <f t="shared" si="19"/>
        <v>206</v>
      </c>
      <c r="B221" s="249" t="s">
        <v>14</v>
      </c>
      <c r="C221" s="228">
        <f t="shared" si="20"/>
        <v>13.24</v>
      </c>
      <c r="D221" s="522"/>
      <c r="E221" s="551">
        <v>13.24</v>
      </c>
      <c r="F221" s="522"/>
      <c r="G221" s="523"/>
      <c r="H221" s="524"/>
      <c r="I221" s="523"/>
      <c r="J221" s="524"/>
      <c r="K221" s="551"/>
      <c r="L221" s="694"/>
      <c r="M221" s="503"/>
      <c r="N221" s="504"/>
    </row>
    <row r="222" spans="1:14" ht="15" customHeight="1" x14ac:dyDescent="0.25">
      <c r="A222" s="294">
        <f t="shared" si="19"/>
        <v>207</v>
      </c>
      <c r="B222" s="262" t="s">
        <v>28</v>
      </c>
      <c r="C222" s="228">
        <f t="shared" si="20"/>
        <v>52.171999999999997</v>
      </c>
      <c r="D222" s="522"/>
      <c r="E222" s="551">
        <f>59.622-2.2-6+0.75</f>
        <v>52.171999999999997</v>
      </c>
      <c r="F222" s="522"/>
      <c r="G222" s="523"/>
      <c r="H222" s="524"/>
      <c r="I222" s="523"/>
      <c r="J222" s="524"/>
      <c r="K222" s="551"/>
      <c r="L222" s="694"/>
      <c r="M222" s="503"/>
      <c r="N222" s="504"/>
    </row>
    <row r="223" spans="1:14" ht="15" customHeight="1" thickBot="1" x14ac:dyDescent="0.3">
      <c r="A223" s="330">
        <f t="shared" si="19"/>
        <v>208</v>
      </c>
      <c r="B223" s="263" t="s">
        <v>16</v>
      </c>
      <c r="C223" s="228">
        <f t="shared" si="20"/>
        <v>533.91099999999994</v>
      </c>
      <c r="D223" s="554"/>
      <c r="E223" s="559">
        <v>533.91099999999994</v>
      </c>
      <c r="F223" s="556"/>
      <c r="G223" s="539"/>
      <c r="H223" s="589"/>
      <c r="I223" s="539"/>
      <c r="J223" s="589"/>
      <c r="K223" s="559"/>
      <c r="L223" s="695"/>
      <c r="M223" s="612"/>
      <c r="N223" s="613"/>
    </row>
    <row r="224" spans="1:14" ht="28.5" customHeight="1" thickBot="1" x14ac:dyDescent="0.3">
      <c r="A224" s="289">
        <f t="shared" si="19"/>
        <v>209</v>
      </c>
      <c r="B224" s="264" t="s">
        <v>239</v>
      </c>
      <c r="C224" s="506">
        <f t="shared" si="20"/>
        <v>2202.4377500000001</v>
      </c>
      <c r="D224" s="675">
        <f t="shared" ref="D224:D231" si="21">F224+H224+J224+L224</f>
        <v>0.379</v>
      </c>
      <c r="E224" s="675">
        <f>E225+E227+E233+E239+E241</f>
        <v>1857.38546</v>
      </c>
      <c r="F224" s="672"/>
      <c r="G224" s="675">
        <f>G225+G227+G233+G239</f>
        <v>345.05228999999997</v>
      </c>
      <c r="H224" s="675">
        <f>H231</f>
        <v>0.379</v>
      </c>
      <c r="I224" s="677"/>
      <c r="J224" s="696"/>
      <c r="K224" s="697"/>
      <c r="L224" s="672"/>
      <c r="M224" s="698"/>
      <c r="N224" s="680"/>
    </row>
    <row r="225" spans="1:14" ht="15" customHeight="1" x14ac:dyDescent="0.25">
      <c r="A225" s="294">
        <f t="shared" si="19"/>
        <v>210</v>
      </c>
      <c r="B225" s="327" t="s">
        <v>26</v>
      </c>
      <c r="C225" s="228">
        <f t="shared" si="20"/>
        <v>80</v>
      </c>
      <c r="D225" s="633"/>
      <c r="E225" s="101">
        <f>E226</f>
        <v>80</v>
      </c>
      <c r="F225" s="699"/>
      <c r="G225" s="631"/>
      <c r="H225" s="700"/>
      <c r="I225" s="701"/>
      <c r="J225" s="633"/>
      <c r="K225" s="631"/>
      <c r="L225" s="632"/>
      <c r="M225" s="702"/>
      <c r="N225" s="703"/>
    </row>
    <row r="226" spans="1:14" ht="15" customHeight="1" x14ac:dyDescent="0.25">
      <c r="A226" s="226">
        <f t="shared" si="19"/>
        <v>211</v>
      </c>
      <c r="B226" s="296" t="s">
        <v>75</v>
      </c>
      <c r="C226" s="228">
        <f t="shared" si="20"/>
        <v>80</v>
      </c>
      <c r="D226" s="637"/>
      <c r="E226" s="621">
        <v>80</v>
      </c>
      <c r="F226" s="635"/>
      <c r="G226" s="232"/>
      <c r="H226" s="704"/>
      <c r="I226" s="636"/>
      <c r="J226" s="637"/>
      <c r="K226" s="634"/>
      <c r="L226" s="635"/>
      <c r="M226" s="503"/>
      <c r="N226" s="504"/>
    </row>
    <row r="227" spans="1:14" ht="15" customHeight="1" x14ac:dyDescent="0.25">
      <c r="A227" s="294">
        <f t="shared" si="19"/>
        <v>212</v>
      </c>
      <c r="B227" s="240" t="s">
        <v>264</v>
      </c>
      <c r="C227" s="228">
        <f t="shared" si="20"/>
        <v>495.54146000000003</v>
      </c>
      <c r="D227" s="694"/>
      <c r="E227" s="668">
        <f>SUM(E228:E232)</f>
        <v>189.54846000000001</v>
      </c>
      <c r="F227" s="705"/>
      <c r="G227" s="668">
        <f>SUM(G228:G231)</f>
        <v>305.99299999999999</v>
      </c>
      <c r="H227" s="706"/>
      <c r="I227" s="512"/>
      <c r="J227" s="513"/>
      <c r="K227" s="510"/>
      <c r="L227" s="511"/>
      <c r="M227" s="503"/>
      <c r="N227" s="504"/>
    </row>
    <row r="228" spans="1:14" ht="15" customHeight="1" x14ac:dyDescent="0.25">
      <c r="A228" s="226">
        <f t="shared" si="19"/>
        <v>213</v>
      </c>
      <c r="B228" s="296" t="s">
        <v>217</v>
      </c>
      <c r="C228" s="228">
        <f t="shared" si="20"/>
        <v>287</v>
      </c>
      <c r="D228" s="513"/>
      <c r="E228" s="523"/>
      <c r="F228" s="511"/>
      <c r="G228" s="518">
        <v>287</v>
      </c>
      <c r="H228" s="690"/>
      <c r="I228" s="512"/>
      <c r="J228" s="513"/>
      <c r="K228" s="510"/>
      <c r="L228" s="511"/>
      <c r="M228" s="503"/>
      <c r="N228" s="504"/>
    </row>
    <row r="229" spans="1:14" ht="15" customHeight="1" x14ac:dyDescent="0.25">
      <c r="A229" s="226">
        <f t="shared" si="19"/>
        <v>214</v>
      </c>
      <c r="B229" s="296" t="s">
        <v>216</v>
      </c>
      <c r="C229" s="228">
        <f t="shared" si="20"/>
        <v>120</v>
      </c>
      <c r="D229" s="519"/>
      <c r="E229" s="518">
        <v>120</v>
      </c>
      <c r="F229" s="707"/>
      <c r="G229" s="518"/>
      <c r="H229" s="707"/>
      <c r="I229" s="512"/>
      <c r="J229" s="513"/>
      <c r="K229" s="510"/>
      <c r="L229" s="511"/>
      <c r="M229" s="503"/>
      <c r="N229" s="504"/>
    </row>
    <row r="230" spans="1:14" ht="15" customHeight="1" x14ac:dyDescent="0.25">
      <c r="A230" s="226">
        <f t="shared" si="19"/>
        <v>215</v>
      </c>
      <c r="B230" s="298" t="s">
        <v>421</v>
      </c>
      <c r="C230" s="506">
        <f t="shared" si="20"/>
        <v>59.672460000000001</v>
      </c>
      <c r="D230" s="519"/>
      <c r="E230" s="708">
        <v>59.672460000000001</v>
      </c>
      <c r="F230" s="707"/>
      <c r="G230" s="543"/>
      <c r="H230" s="709"/>
      <c r="I230" s="512"/>
      <c r="J230" s="513"/>
      <c r="K230" s="510"/>
      <c r="L230" s="511"/>
      <c r="M230" s="503"/>
      <c r="N230" s="504"/>
    </row>
    <row r="231" spans="1:14" ht="15" customHeight="1" x14ac:dyDescent="0.25">
      <c r="A231" s="226">
        <f t="shared" si="19"/>
        <v>216</v>
      </c>
      <c r="B231" s="298" t="s">
        <v>472</v>
      </c>
      <c r="C231" s="228">
        <f t="shared" si="20"/>
        <v>18.992999999999999</v>
      </c>
      <c r="D231" s="518">
        <f t="shared" si="21"/>
        <v>0.379</v>
      </c>
      <c r="E231" s="710"/>
      <c r="F231" s="707"/>
      <c r="G231" s="710">
        <v>18.992999999999999</v>
      </c>
      <c r="H231" s="711">
        <v>0.379</v>
      </c>
      <c r="I231" s="512"/>
      <c r="J231" s="513"/>
      <c r="K231" s="510"/>
      <c r="L231" s="511"/>
      <c r="M231" s="503"/>
      <c r="N231" s="504"/>
    </row>
    <row r="232" spans="1:14" ht="15" customHeight="1" x14ac:dyDescent="0.25">
      <c r="A232" s="226">
        <f t="shared" si="19"/>
        <v>217</v>
      </c>
      <c r="B232" s="298" t="s">
        <v>533</v>
      </c>
      <c r="C232" s="228">
        <f t="shared" si="20"/>
        <v>9.8759999999999994</v>
      </c>
      <c r="D232" s="712"/>
      <c r="E232" s="529">
        <v>9.8759999999999994</v>
      </c>
      <c r="F232" s="709"/>
      <c r="G232" s="529"/>
      <c r="H232" s="713"/>
      <c r="I232" s="512"/>
      <c r="J232" s="513"/>
      <c r="K232" s="510"/>
      <c r="L232" s="511"/>
      <c r="M232" s="503"/>
      <c r="N232" s="504"/>
    </row>
    <row r="233" spans="1:14" ht="15" customHeight="1" x14ac:dyDescent="0.25">
      <c r="A233" s="294">
        <f t="shared" si="19"/>
        <v>218</v>
      </c>
      <c r="B233" s="238" t="s">
        <v>263</v>
      </c>
      <c r="C233" s="506">
        <f t="shared" si="20"/>
        <v>1305.0592899999999</v>
      </c>
      <c r="D233" s="694"/>
      <c r="E233" s="668">
        <f>SUM(E234:E238)</f>
        <v>1266</v>
      </c>
      <c r="F233" s="714"/>
      <c r="G233" s="252">
        <f t="shared" ref="G233" si="22">SUM(G234:G238)</f>
        <v>39.059289999999997</v>
      </c>
      <c r="H233" s="511"/>
      <c r="I233" s="512"/>
      <c r="J233" s="513"/>
      <c r="K233" s="510"/>
      <c r="L233" s="511"/>
      <c r="M233" s="503"/>
      <c r="N233" s="504"/>
    </row>
    <row r="234" spans="1:14" ht="15" customHeight="1" x14ac:dyDescent="0.25">
      <c r="A234" s="226">
        <f t="shared" si="19"/>
        <v>219</v>
      </c>
      <c r="B234" s="300" t="s">
        <v>214</v>
      </c>
      <c r="C234" s="228">
        <f t="shared" si="20"/>
        <v>10</v>
      </c>
      <c r="D234" s="513"/>
      <c r="E234" s="523">
        <v>10</v>
      </c>
      <c r="F234" s="511"/>
      <c r="G234" s="510"/>
      <c r="H234" s="511"/>
      <c r="I234" s="512"/>
      <c r="J234" s="513"/>
      <c r="K234" s="715"/>
      <c r="L234" s="511"/>
      <c r="M234" s="503"/>
      <c r="N234" s="504"/>
    </row>
    <row r="235" spans="1:14" ht="15" customHeight="1" x14ac:dyDescent="0.25">
      <c r="A235" s="226">
        <f t="shared" si="19"/>
        <v>220</v>
      </c>
      <c r="B235" s="300" t="s">
        <v>240</v>
      </c>
      <c r="C235" s="228">
        <f t="shared" si="20"/>
        <v>1010</v>
      </c>
      <c r="D235" s="716"/>
      <c r="E235" s="719">
        <f>800+30+180</f>
        <v>1010</v>
      </c>
      <c r="F235" s="706"/>
      <c r="G235" s="717"/>
      <c r="H235" s="706"/>
      <c r="I235" s="718"/>
      <c r="J235" s="716"/>
      <c r="K235" s="717"/>
      <c r="L235" s="706"/>
      <c r="M235" s="503"/>
      <c r="N235" s="504"/>
    </row>
    <row r="236" spans="1:14" ht="27" customHeight="1" x14ac:dyDescent="0.25">
      <c r="A236" s="226">
        <f t="shared" si="19"/>
        <v>221</v>
      </c>
      <c r="B236" s="328" t="s">
        <v>591</v>
      </c>
      <c r="C236" s="228">
        <f t="shared" si="20"/>
        <v>7.6724999999999994</v>
      </c>
      <c r="D236" s="716"/>
      <c r="E236" s="719"/>
      <c r="F236" s="706"/>
      <c r="G236" s="518">
        <f>1.116+6.5565</f>
        <v>7.6724999999999994</v>
      </c>
      <c r="H236" s="706"/>
      <c r="I236" s="718"/>
      <c r="J236" s="716"/>
      <c r="K236" s="717"/>
      <c r="L236" s="706"/>
      <c r="M236" s="503"/>
      <c r="N236" s="504"/>
    </row>
    <row r="237" spans="1:14" ht="26.25" customHeight="1" x14ac:dyDescent="0.25">
      <c r="A237" s="226">
        <f t="shared" si="19"/>
        <v>222</v>
      </c>
      <c r="B237" s="328" t="s">
        <v>592</v>
      </c>
      <c r="C237" s="506">
        <f t="shared" si="20"/>
        <v>16.495069999999998</v>
      </c>
      <c r="D237" s="716"/>
      <c r="E237" s="719"/>
      <c r="F237" s="706"/>
      <c r="G237" s="708">
        <v>16.495069999999998</v>
      </c>
      <c r="H237" s="706"/>
      <c r="I237" s="718"/>
      <c r="J237" s="716"/>
      <c r="K237" s="717"/>
      <c r="L237" s="706"/>
      <c r="M237" s="503"/>
      <c r="N237" s="504"/>
    </row>
    <row r="238" spans="1:14" ht="15" customHeight="1" x14ac:dyDescent="0.25">
      <c r="A238" s="226">
        <f t="shared" si="19"/>
        <v>223</v>
      </c>
      <c r="B238" s="296" t="s">
        <v>78</v>
      </c>
      <c r="C238" s="506">
        <f t="shared" si="20"/>
        <v>260.89172000000002</v>
      </c>
      <c r="D238" s="716"/>
      <c r="E238" s="719">
        <v>246</v>
      </c>
      <c r="F238" s="706"/>
      <c r="G238" s="708">
        <v>14.891719999999999</v>
      </c>
      <c r="H238" s="706"/>
      <c r="I238" s="718"/>
      <c r="J238" s="716"/>
      <c r="K238" s="717"/>
      <c r="L238" s="706"/>
      <c r="M238" s="503"/>
      <c r="N238" s="504"/>
    </row>
    <row r="239" spans="1:14" ht="15" customHeight="1" x14ac:dyDescent="0.25">
      <c r="A239" s="294">
        <f t="shared" si="19"/>
        <v>224</v>
      </c>
      <c r="B239" s="240" t="s">
        <v>230</v>
      </c>
      <c r="C239" s="228">
        <f t="shared" si="20"/>
        <v>306.41700000000003</v>
      </c>
      <c r="D239" s="695"/>
      <c r="E239" s="555">
        <f>E240</f>
        <v>306.41700000000003</v>
      </c>
      <c r="F239" s="706"/>
      <c r="G239" s="717"/>
      <c r="H239" s="706"/>
      <c r="I239" s="718"/>
      <c r="J239" s="716"/>
      <c r="K239" s="717"/>
      <c r="L239" s="706"/>
      <c r="M239" s="503"/>
      <c r="N239" s="504"/>
    </row>
    <row r="240" spans="1:14" ht="15" customHeight="1" x14ac:dyDescent="0.25">
      <c r="A240" s="226">
        <f t="shared" si="19"/>
        <v>225</v>
      </c>
      <c r="B240" s="301" t="s">
        <v>241</v>
      </c>
      <c r="C240" s="228">
        <f t="shared" si="20"/>
        <v>306.41700000000003</v>
      </c>
      <c r="D240" s="695"/>
      <c r="E240" s="539">
        <f>420-113.583</f>
        <v>306.41700000000003</v>
      </c>
      <c r="F240" s="706"/>
      <c r="G240" s="717"/>
      <c r="H240" s="706"/>
      <c r="I240" s="718"/>
      <c r="J240" s="716"/>
      <c r="K240" s="717"/>
      <c r="L240" s="706"/>
      <c r="M240" s="612"/>
      <c r="N240" s="613"/>
    </row>
    <row r="241" spans="1:14" ht="15" customHeight="1" x14ac:dyDescent="0.25">
      <c r="A241" s="294">
        <f t="shared" si="19"/>
        <v>226</v>
      </c>
      <c r="B241" s="243" t="s">
        <v>445</v>
      </c>
      <c r="C241" s="228">
        <f t="shared" si="20"/>
        <v>15.42</v>
      </c>
      <c r="D241" s="720"/>
      <c r="E241" s="518">
        <f>E242</f>
        <v>15.42</v>
      </c>
      <c r="F241" s="707"/>
      <c r="G241" s="520"/>
      <c r="H241" s="707"/>
      <c r="I241" s="721"/>
      <c r="J241" s="519"/>
      <c r="K241" s="520"/>
      <c r="L241" s="707"/>
      <c r="M241" s="503"/>
      <c r="N241" s="504"/>
    </row>
    <row r="242" spans="1:14" ht="15" customHeight="1" thickBot="1" x14ac:dyDescent="0.3">
      <c r="A242" s="244">
        <f t="shared" si="19"/>
        <v>227</v>
      </c>
      <c r="B242" s="329" t="s">
        <v>609</v>
      </c>
      <c r="C242" s="228">
        <f t="shared" si="20"/>
        <v>15.42</v>
      </c>
      <c r="D242" s="722"/>
      <c r="E242" s="732">
        <f>15.6-0.18</f>
        <v>15.42</v>
      </c>
      <c r="F242" s="723"/>
      <c r="G242" s="724"/>
      <c r="H242" s="723"/>
      <c r="I242" s="725"/>
      <c r="J242" s="726"/>
      <c r="K242" s="724"/>
      <c r="L242" s="723"/>
      <c r="M242" s="727"/>
      <c r="N242" s="728"/>
    </row>
    <row r="243" spans="1:14" ht="15" customHeight="1" thickBot="1" x14ac:dyDescent="0.3">
      <c r="A243" s="289">
        <f t="shared" si="19"/>
        <v>228</v>
      </c>
      <c r="B243" s="265" t="s">
        <v>207</v>
      </c>
      <c r="C243" s="506">
        <f t="shared" si="20"/>
        <v>57277.292440000005</v>
      </c>
      <c r="D243" s="564">
        <f t="shared" ref="D243:K243" si="23">D16+D58+D112+D150+D197+D224</f>
        <v>29568.331050000004</v>
      </c>
      <c r="E243" s="563">
        <f>E16+E58+E112+E150+E197+E224</f>
        <v>31096.52519</v>
      </c>
      <c r="F243" s="564">
        <f t="shared" si="23"/>
        <v>16930.189170000001</v>
      </c>
      <c r="G243" s="563">
        <f t="shared" si="23"/>
        <v>13356.922759999999</v>
      </c>
      <c r="H243" s="564">
        <f t="shared" si="23"/>
        <v>2798.5099</v>
      </c>
      <c r="I243" s="56">
        <f t="shared" si="23"/>
        <v>9682.0999999999985</v>
      </c>
      <c r="J243" s="564">
        <f t="shared" si="23"/>
        <v>9327.3993500000015</v>
      </c>
      <c r="K243" s="563">
        <f t="shared" si="23"/>
        <v>1761.4229999999998</v>
      </c>
      <c r="L243" s="627">
        <f>L16+L58+L112+L150+L197+L224+P245</f>
        <v>409.58294999999998</v>
      </c>
      <c r="M243" s="563">
        <f>M16+M58+M112+M150+M197+M224+Q245</f>
        <v>1380.3214900000003</v>
      </c>
      <c r="N243" s="563">
        <f>N16+N58+N112+N150+N197+N224+R245</f>
        <v>102.64967999999999</v>
      </c>
    </row>
    <row r="244" spans="1:14" ht="15" customHeight="1" x14ac:dyDescent="0.25">
      <c r="A244" s="187"/>
      <c r="B244" s="174"/>
    </row>
    <row r="245" spans="1:14" ht="15" customHeight="1" x14ac:dyDescent="0.25">
      <c r="A245" s="187"/>
      <c r="B245" s="174" t="s">
        <v>518</v>
      </c>
      <c r="G245" s="177"/>
    </row>
    <row r="246" spans="1:14" ht="15" customHeight="1" x14ac:dyDescent="0.25">
      <c r="A246" s="187"/>
      <c r="B246" s="178" t="s">
        <v>519</v>
      </c>
      <c r="D246" s="177"/>
    </row>
    <row r="247" spans="1:14" ht="15" customHeight="1" x14ac:dyDescent="0.25">
      <c r="A247" s="187"/>
      <c r="B247" s="174" t="s">
        <v>520</v>
      </c>
    </row>
    <row r="248" spans="1:14" ht="15" customHeight="1" x14ac:dyDescent="0.25">
      <c r="A248" s="187"/>
      <c r="B248" s="174" t="s">
        <v>521</v>
      </c>
    </row>
    <row r="249" spans="1:14" ht="15" customHeight="1" x14ac:dyDescent="0.25">
      <c r="A249" s="187"/>
      <c r="B249" s="174" t="s">
        <v>522</v>
      </c>
    </row>
    <row r="251" spans="1:14" ht="15" customHeight="1" x14ac:dyDescent="0.25">
      <c r="G251" s="177"/>
    </row>
  </sheetData>
  <mergeCells count="11">
    <mergeCell ref="E14:F14"/>
    <mergeCell ref="I14:J14"/>
    <mergeCell ref="A14:A15"/>
    <mergeCell ref="B14:B15"/>
    <mergeCell ref="C14:D14"/>
    <mergeCell ref="H5:M5"/>
    <mergeCell ref="H6:M6"/>
    <mergeCell ref="H7:L7"/>
    <mergeCell ref="G14:H14"/>
    <mergeCell ref="K14:L14"/>
    <mergeCell ref="M14:N14"/>
  </mergeCells>
  <printOptions gridLines="1"/>
  <pageMargins left="0.23622047244094491" right="0" top="0.74803149606299213" bottom="0.15748031496062992" header="0.31496062992125984" footer="0.31496062992125984"/>
  <pageSetup paperSize="9" scale="7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2121D-6CBD-4729-B682-B2D51F581864}">
  <dimension ref="A1:I125"/>
  <sheetViews>
    <sheetView zoomScaleNormal="100" workbookViewId="0">
      <selection activeCell="M46" sqref="M46"/>
    </sheetView>
  </sheetViews>
  <sheetFormatPr defaultColWidth="9.109375" defaultRowHeight="13.2" x14ac:dyDescent="0.25"/>
  <cols>
    <col min="1" max="1" width="6.5546875" style="754" customWidth="1"/>
    <col min="2" max="2" width="62.109375" style="754" customWidth="1"/>
    <col min="3" max="3" width="11.88671875" style="754" customWidth="1"/>
    <col min="4" max="4" width="39.109375" style="754" customWidth="1"/>
    <col min="5" max="5" width="16.33203125" style="754" customWidth="1"/>
    <col min="6" max="6" width="18.44140625" style="754" customWidth="1"/>
    <col min="7" max="7" width="10.88671875" style="754" customWidth="1"/>
    <col min="8" max="16384" width="9.109375" style="754"/>
  </cols>
  <sheetData>
    <row r="1" spans="1:8" ht="15.6" x14ac:dyDescent="0.3">
      <c r="B1" s="915"/>
      <c r="C1" s="915"/>
      <c r="D1" s="915" t="s">
        <v>25</v>
      </c>
      <c r="E1" s="915"/>
      <c r="F1" s="915"/>
      <c r="G1" s="917"/>
    </row>
    <row r="2" spans="1:8" ht="15.6" x14ac:dyDescent="0.3">
      <c r="B2" s="915"/>
      <c r="C2" s="915"/>
      <c r="D2" s="915" t="s">
        <v>465</v>
      </c>
      <c r="E2" s="920"/>
      <c r="F2" s="916"/>
      <c r="G2" s="918"/>
    </row>
    <row r="3" spans="1:8" ht="15.6" x14ac:dyDescent="0.3">
      <c r="B3" s="915"/>
      <c r="C3" s="915"/>
      <c r="D3" s="915" t="s">
        <v>35</v>
      </c>
      <c r="E3" s="915"/>
      <c r="F3" s="915"/>
      <c r="G3" s="917"/>
    </row>
    <row r="4" spans="1:8" ht="15.6" x14ac:dyDescent="0.3">
      <c r="B4" s="915"/>
      <c r="C4" s="915"/>
      <c r="D4" s="915" t="s">
        <v>483</v>
      </c>
      <c r="E4" s="915"/>
      <c r="F4" s="915"/>
      <c r="G4" s="917"/>
    </row>
    <row r="5" spans="1:8" ht="15.6" x14ac:dyDescent="0.3">
      <c r="B5" s="915"/>
      <c r="C5" s="915"/>
      <c r="D5" s="915" t="s">
        <v>835</v>
      </c>
      <c r="E5" s="920"/>
      <c r="F5" s="915"/>
      <c r="G5" s="917"/>
    </row>
    <row r="6" spans="1:8" ht="15.6" x14ac:dyDescent="0.3">
      <c r="B6" s="915"/>
      <c r="C6" s="915"/>
      <c r="D6" s="915" t="s">
        <v>484</v>
      </c>
      <c r="E6" s="915"/>
      <c r="F6" s="915"/>
      <c r="G6" s="917"/>
    </row>
    <row r="7" spans="1:8" ht="15.6" x14ac:dyDescent="0.3">
      <c r="B7" s="915"/>
      <c r="C7" s="915"/>
      <c r="D7" s="915"/>
      <c r="E7" s="915"/>
      <c r="F7" s="915"/>
    </row>
    <row r="8" spans="1:8" ht="15.6" x14ac:dyDescent="0.3">
      <c r="A8" s="916" t="s">
        <v>466</v>
      </c>
      <c r="B8" s="915"/>
      <c r="C8" s="915"/>
      <c r="D8" s="915"/>
      <c r="E8" s="915"/>
      <c r="F8" s="915"/>
    </row>
    <row r="9" spans="1:8" ht="15.6" x14ac:dyDescent="0.3">
      <c r="A9" s="915"/>
      <c r="B9" s="915" t="s">
        <v>612</v>
      </c>
      <c r="C9" s="915"/>
      <c r="D9" s="915"/>
      <c r="E9" s="915"/>
      <c r="F9" s="915"/>
    </row>
    <row r="10" spans="1:8" ht="16.2" thickBot="1" x14ac:dyDescent="0.35">
      <c r="A10" s="917"/>
      <c r="B10" s="915"/>
      <c r="C10" s="915"/>
      <c r="D10" s="915"/>
      <c r="E10" s="917" t="s">
        <v>503</v>
      </c>
      <c r="F10" s="915"/>
    </row>
    <row r="11" spans="1:8" x14ac:dyDescent="0.25">
      <c r="A11" s="1075" t="s">
        <v>0</v>
      </c>
      <c r="B11" s="1077" t="s">
        <v>373</v>
      </c>
      <c r="C11" s="1077" t="s">
        <v>374</v>
      </c>
      <c r="D11" s="1077" t="s">
        <v>375</v>
      </c>
      <c r="E11" s="1077" t="s">
        <v>399</v>
      </c>
      <c r="F11" s="1073" t="s">
        <v>50</v>
      </c>
    </row>
    <row r="12" spans="1:8" ht="33.75" customHeight="1" thickBot="1" x14ac:dyDescent="0.3">
      <c r="A12" s="1076"/>
      <c r="B12" s="1078"/>
      <c r="C12" s="1078"/>
      <c r="D12" s="1078"/>
      <c r="E12" s="1078"/>
      <c r="F12" s="1074"/>
    </row>
    <row r="13" spans="1:8" ht="26.4" x14ac:dyDescent="0.25">
      <c r="A13" s="922">
        <v>1</v>
      </c>
      <c r="B13" s="923" t="s">
        <v>376</v>
      </c>
      <c r="C13" s="924">
        <v>1</v>
      </c>
      <c r="D13" s="925" t="s">
        <v>26</v>
      </c>
      <c r="E13" s="926">
        <v>0.5</v>
      </c>
      <c r="F13" s="927"/>
    </row>
    <row r="14" spans="1:8" x14ac:dyDescent="0.25">
      <c r="A14" s="928">
        <f t="shared" ref="A14:A59" si="0">A13+1</f>
        <v>2</v>
      </c>
      <c r="B14" s="929" t="s">
        <v>342</v>
      </c>
      <c r="C14" s="930">
        <v>1</v>
      </c>
      <c r="D14" s="931" t="s">
        <v>26</v>
      </c>
      <c r="E14" s="932">
        <v>26.8</v>
      </c>
      <c r="F14" s="932">
        <v>23.8</v>
      </c>
    </row>
    <row r="15" spans="1:8" x14ac:dyDescent="0.25">
      <c r="A15" s="928">
        <f t="shared" si="0"/>
        <v>3</v>
      </c>
      <c r="B15" s="929" t="s">
        <v>377</v>
      </c>
      <c r="C15" s="930">
        <v>1</v>
      </c>
      <c r="D15" s="931" t="s">
        <v>26</v>
      </c>
      <c r="E15" s="932">
        <v>25.3</v>
      </c>
      <c r="F15" s="932">
        <v>10</v>
      </c>
      <c r="H15" s="921"/>
    </row>
    <row r="16" spans="1:8" x14ac:dyDescent="0.25">
      <c r="A16" s="928">
        <f t="shared" si="0"/>
        <v>4</v>
      </c>
      <c r="B16" s="933" t="s">
        <v>365</v>
      </c>
      <c r="C16" s="934">
        <v>1</v>
      </c>
      <c r="D16" s="931" t="s">
        <v>26</v>
      </c>
      <c r="E16" s="932">
        <v>9</v>
      </c>
      <c r="F16" s="932">
        <v>8.8710000000000004</v>
      </c>
      <c r="H16" s="921"/>
    </row>
    <row r="17" spans="1:9" x14ac:dyDescent="0.25">
      <c r="A17" s="928">
        <f t="shared" si="0"/>
        <v>5</v>
      </c>
      <c r="B17" s="929" t="s">
        <v>361</v>
      </c>
      <c r="C17" s="930">
        <v>1</v>
      </c>
      <c r="D17" s="931" t="s">
        <v>26</v>
      </c>
      <c r="E17" s="932">
        <v>30.2</v>
      </c>
      <c r="F17" s="932">
        <v>25.7</v>
      </c>
    </row>
    <row r="18" spans="1:9" x14ac:dyDescent="0.25">
      <c r="A18" s="928">
        <f t="shared" si="0"/>
        <v>6</v>
      </c>
      <c r="B18" s="929" t="s">
        <v>359</v>
      </c>
      <c r="C18" s="930">
        <v>1</v>
      </c>
      <c r="D18" s="931" t="s">
        <v>26</v>
      </c>
      <c r="E18" s="932">
        <v>9.4</v>
      </c>
      <c r="F18" s="932">
        <v>8.3000000000000007</v>
      </c>
    </row>
    <row r="19" spans="1:9" ht="26.4" x14ac:dyDescent="0.25">
      <c r="A19" s="928">
        <f t="shared" si="0"/>
        <v>7</v>
      </c>
      <c r="B19" s="933" t="s">
        <v>423</v>
      </c>
      <c r="C19" s="930">
        <v>1</v>
      </c>
      <c r="D19" s="931" t="s">
        <v>26</v>
      </c>
      <c r="E19" s="932">
        <v>0.7</v>
      </c>
      <c r="F19" s="932"/>
    </row>
    <row r="20" spans="1:9" x14ac:dyDescent="0.25">
      <c r="A20" s="928">
        <f t="shared" si="0"/>
        <v>8</v>
      </c>
      <c r="B20" s="929" t="s">
        <v>378</v>
      </c>
      <c r="C20" s="930">
        <v>1</v>
      </c>
      <c r="D20" s="931" t="s">
        <v>26</v>
      </c>
      <c r="E20" s="932">
        <f>20.8+3</f>
        <v>23.8</v>
      </c>
      <c r="F20" s="932">
        <f>20.4+2.944</f>
        <v>23.343999999999998</v>
      </c>
      <c r="I20" s="921"/>
    </row>
    <row r="21" spans="1:9" x14ac:dyDescent="0.25">
      <c r="A21" s="928">
        <f t="shared" si="0"/>
        <v>9</v>
      </c>
      <c r="B21" s="935" t="s">
        <v>290</v>
      </c>
      <c r="C21" s="936">
        <v>1</v>
      </c>
      <c r="D21" s="937" t="s">
        <v>230</v>
      </c>
      <c r="E21" s="932">
        <f>1.1+1.4</f>
        <v>2.5</v>
      </c>
      <c r="F21" s="932"/>
    </row>
    <row r="22" spans="1:9" x14ac:dyDescent="0.25">
      <c r="A22" s="928">
        <f t="shared" si="0"/>
        <v>10</v>
      </c>
      <c r="B22" s="929" t="s">
        <v>613</v>
      </c>
      <c r="C22" s="930"/>
      <c r="D22" s="931"/>
      <c r="E22" s="932">
        <f>E23+E24+E25</f>
        <v>173</v>
      </c>
      <c r="F22" s="932">
        <f>F23+F24+F25</f>
        <v>126.07600000000001</v>
      </c>
      <c r="H22" s="921"/>
    </row>
    <row r="23" spans="1:9" x14ac:dyDescent="0.25">
      <c r="A23" s="938">
        <f t="shared" si="0"/>
        <v>11</v>
      </c>
      <c r="B23" s="939" t="s">
        <v>379</v>
      </c>
      <c r="C23" s="940">
        <v>4</v>
      </c>
      <c r="D23" s="941" t="s">
        <v>26</v>
      </c>
      <c r="E23" s="942">
        <v>100</v>
      </c>
      <c r="F23" s="942">
        <v>97.876000000000005</v>
      </c>
    </row>
    <row r="24" spans="1:9" x14ac:dyDescent="0.25">
      <c r="A24" s="938">
        <f t="shared" si="0"/>
        <v>12</v>
      </c>
      <c r="B24" s="939" t="s">
        <v>380</v>
      </c>
      <c r="C24" s="940">
        <v>1</v>
      </c>
      <c r="D24" s="941" t="s">
        <v>26</v>
      </c>
      <c r="E24" s="942">
        <v>3.4</v>
      </c>
      <c r="F24" s="942">
        <v>3</v>
      </c>
    </row>
    <row r="25" spans="1:9" x14ac:dyDescent="0.25">
      <c r="A25" s="938">
        <f t="shared" si="0"/>
        <v>13</v>
      </c>
      <c r="B25" s="939" t="s">
        <v>382</v>
      </c>
      <c r="C25" s="940">
        <v>4</v>
      </c>
      <c r="D25" s="943" t="s">
        <v>27</v>
      </c>
      <c r="E25" s="942">
        <v>69.599999999999994</v>
      </c>
      <c r="F25" s="942">
        <v>25.2</v>
      </c>
    </row>
    <row r="26" spans="1:9" x14ac:dyDescent="0.25">
      <c r="A26" s="928">
        <f t="shared" si="0"/>
        <v>14</v>
      </c>
      <c r="B26" s="929" t="s">
        <v>383</v>
      </c>
      <c r="C26" s="930">
        <v>1</v>
      </c>
      <c r="D26" s="931" t="s">
        <v>26</v>
      </c>
      <c r="E26" s="932">
        <v>5.6</v>
      </c>
      <c r="F26" s="932">
        <v>5.3</v>
      </c>
    </row>
    <row r="27" spans="1:9" x14ac:dyDescent="0.25">
      <c r="A27" s="928">
        <f t="shared" si="0"/>
        <v>15</v>
      </c>
      <c r="B27" s="929" t="s">
        <v>384</v>
      </c>
      <c r="C27" s="930">
        <v>1</v>
      </c>
      <c r="D27" s="931" t="s">
        <v>26</v>
      </c>
      <c r="E27" s="932"/>
      <c r="F27" s="929"/>
    </row>
    <row r="28" spans="1:9" x14ac:dyDescent="0.25">
      <c r="A28" s="928">
        <f t="shared" si="0"/>
        <v>16</v>
      </c>
      <c r="B28" s="747" t="s">
        <v>614</v>
      </c>
      <c r="C28" s="773"/>
      <c r="D28" s="770"/>
      <c r="E28" s="775">
        <f>E29+E30+E31</f>
        <v>490.1</v>
      </c>
      <c r="F28" s="775">
        <f>F29+F30+F31</f>
        <v>14</v>
      </c>
      <c r="G28" s="959"/>
    </row>
    <row r="29" spans="1:9" x14ac:dyDescent="0.25">
      <c r="A29" s="938">
        <f t="shared" si="0"/>
        <v>17</v>
      </c>
      <c r="B29" s="788" t="s">
        <v>385</v>
      </c>
      <c r="C29" s="771">
        <v>4</v>
      </c>
      <c r="D29" s="841" t="s">
        <v>117</v>
      </c>
      <c r="E29" s="821">
        <f>508.1-38.3</f>
        <v>469.8</v>
      </c>
      <c r="F29" s="821"/>
      <c r="G29" s="959"/>
    </row>
    <row r="30" spans="1:9" x14ac:dyDescent="0.25">
      <c r="A30" s="938">
        <f t="shared" si="0"/>
        <v>18</v>
      </c>
      <c r="B30" s="788" t="s">
        <v>386</v>
      </c>
      <c r="C30" s="771">
        <v>1</v>
      </c>
      <c r="D30" s="841" t="s">
        <v>26</v>
      </c>
      <c r="E30" s="821">
        <v>15.3</v>
      </c>
      <c r="F30" s="821">
        <v>14</v>
      </c>
    </row>
    <row r="31" spans="1:9" x14ac:dyDescent="0.25">
      <c r="A31" s="938">
        <f t="shared" si="0"/>
        <v>19</v>
      </c>
      <c r="B31" s="788" t="s">
        <v>615</v>
      </c>
      <c r="C31" s="771">
        <v>1</v>
      </c>
      <c r="D31" s="841" t="s">
        <v>117</v>
      </c>
      <c r="E31" s="821">
        <v>5</v>
      </c>
      <c r="F31" s="788"/>
    </row>
    <row r="32" spans="1:9" x14ac:dyDescent="0.25">
      <c r="A32" s="928">
        <f t="shared" si="0"/>
        <v>20</v>
      </c>
      <c r="B32" s="747" t="s">
        <v>616</v>
      </c>
      <c r="C32" s="773"/>
      <c r="D32" s="770"/>
      <c r="E32" s="775">
        <f>E33+E34+E35</f>
        <v>1665.1000000000001</v>
      </c>
      <c r="F32" s="775">
        <f>F33+F34+F35</f>
        <v>419.49400000000003</v>
      </c>
    </row>
    <row r="33" spans="1:7" x14ac:dyDescent="0.25">
      <c r="A33" s="938">
        <f t="shared" si="0"/>
        <v>21</v>
      </c>
      <c r="B33" s="788" t="s">
        <v>387</v>
      </c>
      <c r="C33" s="771">
        <v>4</v>
      </c>
      <c r="D33" s="841" t="s">
        <v>117</v>
      </c>
      <c r="E33" s="977">
        <f>1059.4+166.1</f>
        <v>1225.5</v>
      </c>
      <c r="F33" s="788"/>
    </row>
    <row r="34" spans="1:7" x14ac:dyDescent="0.25">
      <c r="A34" s="938">
        <f t="shared" si="0"/>
        <v>22</v>
      </c>
      <c r="B34" s="788" t="s">
        <v>388</v>
      </c>
      <c r="C34" s="771">
        <v>1</v>
      </c>
      <c r="D34" s="841" t="s">
        <v>26</v>
      </c>
      <c r="E34" s="821">
        <v>12.4</v>
      </c>
      <c r="F34" s="821">
        <v>11</v>
      </c>
    </row>
    <row r="35" spans="1:7" x14ac:dyDescent="0.25">
      <c r="A35" s="938">
        <f t="shared" si="0"/>
        <v>23</v>
      </c>
      <c r="B35" s="788" t="s">
        <v>389</v>
      </c>
      <c r="C35" s="771">
        <v>4</v>
      </c>
      <c r="D35" s="803" t="s">
        <v>248</v>
      </c>
      <c r="E35" s="821">
        <v>427.2</v>
      </c>
      <c r="F35" s="821">
        <v>408.49400000000003</v>
      </c>
    </row>
    <row r="36" spans="1:7" x14ac:dyDescent="0.25">
      <c r="A36" s="928">
        <f t="shared" si="0"/>
        <v>24</v>
      </c>
      <c r="B36" s="747" t="s">
        <v>617</v>
      </c>
      <c r="C36" s="773"/>
      <c r="D36" s="770"/>
      <c r="E36" s="775">
        <f>E37+E38</f>
        <v>230.1</v>
      </c>
      <c r="F36" s="775">
        <f>F37+F38</f>
        <v>6.2</v>
      </c>
      <c r="G36" s="764"/>
    </row>
    <row r="37" spans="1:7" x14ac:dyDescent="0.25">
      <c r="A37" s="938">
        <f t="shared" si="0"/>
        <v>25</v>
      </c>
      <c r="B37" s="788" t="s">
        <v>435</v>
      </c>
      <c r="C37" s="771">
        <v>1</v>
      </c>
      <c r="D37" s="841" t="s">
        <v>390</v>
      </c>
      <c r="E37" s="821">
        <f>7.7-0.8</f>
        <v>6.9</v>
      </c>
      <c r="F37" s="821">
        <f>7-0.8</f>
        <v>6.2</v>
      </c>
      <c r="G37" s="959"/>
    </row>
    <row r="38" spans="1:7" x14ac:dyDescent="0.25">
      <c r="A38" s="938">
        <f t="shared" si="0"/>
        <v>26</v>
      </c>
      <c r="B38" s="788" t="s">
        <v>618</v>
      </c>
      <c r="C38" s="771">
        <v>4</v>
      </c>
      <c r="D38" s="841"/>
      <c r="E38" s="899">
        <f>SUM(E39:E48)</f>
        <v>223.2</v>
      </c>
      <c r="F38" s="788"/>
      <c r="G38" s="778"/>
    </row>
    <row r="39" spans="1:7" x14ac:dyDescent="0.25">
      <c r="A39" s="938">
        <f t="shared" si="0"/>
        <v>27</v>
      </c>
      <c r="B39" s="788" t="s">
        <v>391</v>
      </c>
      <c r="C39" s="771">
        <v>4</v>
      </c>
      <c r="D39" s="841" t="s">
        <v>627</v>
      </c>
      <c r="E39" s="821">
        <f>16.264-1.176</f>
        <v>15.087999999999999</v>
      </c>
      <c r="F39" s="788"/>
      <c r="G39" s="959"/>
    </row>
    <row r="40" spans="1:7" x14ac:dyDescent="0.25">
      <c r="A40" s="938">
        <f t="shared" si="0"/>
        <v>28</v>
      </c>
      <c r="B40" s="788"/>
      <c r="C40" s="771">
        <v>4</v>
      </c>
      <c r="D40" s="841" t="s">
        <v>628</v>
      </c>
      <c r="E40" s="821">
        <f>14.896-3.92</f>
        <v>10.976000000000001</v>
      </c>
      <c r="F40" s="788"/>
      <c r="G40" s="959"/>
    </row>
    <row r="41" spans="1:7" x14ac:dyDescent="0.25">
      <c r="A41" s="938">
        <f t="shared" si="0"/>
        <v>29</v>
      </c>
      <c r="B41" s="788"/>
      <c r="C41" s="771">
        <v>4</v>
      </c>
      <c r="D41" s="841" t="s">
        <v>629</v>
      </c>
      <c r="E41" s="821">
        <f>17.248</f>
        <v>17.248000000000001</v>
      </c>
      <c r="F41" s="788"/>
      <c r="G41" s="959"/>
    </row>
    <row r="42" spans="1:7" x14ac:dyDescent="0.25">
      <c r="A42" s="938">
        <f t="shared" si="0"/>
        <v>30</v>
      </c>
      <c r="B42" s="788"/>
      <c r="C42" s="771">
        <v>4</v>
      </c>
      <c r="D42" s="841" t="s">
        <v>630</v>
      </c>
      <c r="E42" s="821">
        <f>6.664-3.136</f>
        <v>3.5279999999999996</v>
      </c>
      <c r="F42" s="788"/>
      <c r="G42" s="959"/>
    </row>
    <row r="43" spans="1:7" x14ac:dyDescent="0.25">
      <c r="A43" s="938">
        <f t="shared" si="0"/>
        <v>31</v>
      </c>
      <c r="B43" s="788"/>
      <c r="C43" s="771">
        <v>4</v>
      </c>
      <c r="D43" s="841" t="s">
        <v>631</v>
      </c>
      <c r="E43" s="821">
        <f>9.408+0.784</f>
        <v>10.192</v>
      </c>
      <c r="F43" s="788"/>
      <c r="G43" s="959"/>
    </row>
    <row r="44" spans="1:7" x14ac:dyDescent="0.25">
      <c r="A44" s="938">
        <f t="shared" si="0"/>
        <v>32</v>
      </c>
      <c r="B44" s="788"/>
      <c r="C44" s="771">
        <v>4</v>
      </c>
      <c r="D44" s="841" t="s">
        <v>632</v>
      </c>
      <c r="E44" s="821">
        <f>21.552-1.176</f>
        <v>20.376000000000001</v>
      </c>
      <c r="F44" s="788"/>
      <c r="G44" s="959"/>
    </row>
    <row r="45" spans="1:7" x14ac:dyDescent="0.25">
      <c r="A45" s="938">
        <f t="shared" si="0"/>
        <v>33</v>
      </c>
      <c r="B45" s="939"/>
      <c r="C45" s="940">
        <v>4</v>
      </c>
      <c r="D45" s="841" t="s">
        <v>633</v>
      </c>
      <c r="E45" s="821">
        <f>21.952-0.784</f>
        <v>21.168000000000003</v>
      </c>
      <c r="F45" s="788"/>
      <c r="G45" s="959"/>
    </row>
    <row r="46" spans="1:7" x14ac:dyDescent="0.25">
      <c r="A46" s="938">
        <f t="shared" si="0"/>
        <v>34</v>
      </c>
      <c r="B46" s="939"/>
      <c r="C46" s="940">
        <v>4</v>
      </c>
      <c r="D46" s="841" t="s">
        <v>634</v>
      </c>
      <c r="E46" s="821">
        <f>10.976-0.784</f>
        <v>10.192</v>
      </c>
      <c r="F46" s="788"/>
      <c r="G46" s="959"/>
    </row>
    <row r="47" spans="1:7" x14ac:dyDescent="0.25">
      <c r="A47" s="938">
        <f t="shared" si="0"/>
        <v>35</v>
      </c>
      <c r="B47" s="939"/>
      <c r="C47" s="940">
        <v>4</v>
      </c>
      <c r="D47" s="841" t="s">
        <v>635</v>
      </c>
      <c r="E47" s="821">
        <f>31.36+2.868</f>
        <v>34.228000000000002</v>
      </c>
      <c r="F47" s="788"/>
      <c r="G47" s="959"/>
    </row>
    <row r="48" spans="1:7" x14ac:dyDescent="0.25">
      <c r="A48" s="938">
        <f t="shared" si="0"/>
        <v>36</v>
      </c>
      <c r="B48" s="939"/>
      <c r="C48" s="940">
        <v>4</v>
      </c>
      <c r="D48" s="841" t="s">
        <v>636</v>
      </c>
      <c r="E48" s="821">
        <f>94.58-14.376</f>
        <v>80.203999999999994</v>
      </c>
      <c r="F48" s="788"/>
      <c r="G48" s="959"/>
    </row>
    <row r="49" spans="1:7" x14ac:dyDescent="0.25">
      <c r="A49" s="928">
        <f t="shared" si="0"/>
        <v>37</v>
      </c>
      <c r="B49" s="929" t="s">
        <v>392</v>
      </c>
      <c r="C49" s="930">
        <v>1</v>
      </c>
      <c r="D49" s="770" t="s">
        <v>26</v>
      </c>
      <c r="E49" s="775">
        <v>4.8</v>
      </c>
      <c r="F49" s="775">
        <v>4.3</v>
      </c>
    </row>
    <row r="50" spans="1:7" x14ac:dyDescent="0.25">
      <c r="A50" s="928">
        <f t="shared" si="0"/>
        <v>38</v>
      </c>
      <c r="B50" s="929" t="s">
        <v>346</v>
      </c>
      <c r="C50" s="930">
        <v>1</v>
      </c>
      <c r="D50" s="770" t="s">
        <v>26</v>
      </c>
      <c r="E50" s="775">
        <v>3</v>
      </c>
      <c r="F50" s="775"/>
    </row>
    <row r="51" spans="1:7" x14ac:dyDescent="0.25">
      <c r="A51" s="928">
        <f t="shared" si="0"/>
        <v>39</v>
      </c>
      <c r="B51" s="929" t="s">
        <v>619</v>
      </c>
      <c r="C51" s="930">
        <v>1</v>
      </c>
      <c r="D51" s="770"/>
      <c r="E51" s="775">
        <f>E52+E53+E54+E55+E56+E57</f>
        <v>279.39999999999998</v>
      </c>
      <c r="F51" s="775">
        <f>F52+F53+F54+F55+F56+F57</f>
        <v>260</v>
      </c>
    </row>
    <row r="52" spans="1:7" x14ac:dyDescent="0.25">
      <c r="A52" s="938">
        <f t="shared" si="0"/>
        <v>40</v>
      </c>
      <c r="B52" s="941" t="s">
        <v>436</v>
      </c>
      <c r="C52" s="940">
        <v>1</v>
      </c>
      <c r="D52" s="841" t="s">
        <v>26</v>
      </c>
      <c r="E52" s="821">
        <v>276.89999999999998</v>
      </c>
      <c r="F52" s="821">
        <v>260</v>
      </c>
    </row>
    <row r="53" spans="1:7" x14ac:dyDescent="0.25">
      <c r="A53" s="938">
        <f t="shared" si="0"/>
        <v>41</v>
      </c>
      <c r="B53" s="939"/>
      <c r="C53" s="940">
        <v>1</v>
      </c>
      <c r="D53" s="841" t="s">
        <v>7</v>
      </c>
      <c r="E53" s="821">
        <v>0.5</v>
      </c>
      <c r="F53" s="821"/>
    </row>
    <row r="54" spans="1:7" x14ac:dyDescent="0.25">
      <c r="A54" s="938">
        <f t="shared" si="0"/>
        <v>42</v>
      </c>
      <c r="B54" s="939"/>
      <c r="C54" s="940">
        <v>1</v>
      </c>
      <c r="D54" s="841" t="s">
        <v>8</v>
      </c>
      <c r="E54" s="821">
        <v>0.5</v>
      </c>
      <c r="F54" s="821"/>
    </row>
    <row r="55" spans="1:7" x14ac:dyDescent="0.25">
      <c r="A55" s="938">
        <f t="shared" si="0"/>
        <v>43</v>
      </c>
      <c r="B55" s="939"/>
      <c r="C55" s="940">
        <v>1</v>
      </c>
      <c r="D55" s="841" t="s">
        <v>9</v>
      </c>
      <c r="E55" s="821">
        <v>0.5</v>
      </c>
      <c r="F55" s="821"/>
    </row>
    <row r="56" spans="1:7" x14ac:dyDescent="0.25">
      <c r="A56" s="938">
        <f t="shared" si="0"/>
        <v>44</v>
      </c>
      <c r="B56" s="939"/>
      <c r="C56" s="940">
        <v>1</v>
      </c>
      <c r="D56" s="841" t="s">
        <v>13</v>
      </c>
      <c r="E56" s="821">
        <v>0.5</v>
      </c>
      <c r="F56" s="821"/>
    </row>
    <row r="57" spans="1:7" x14ac:dyDescent="0.25">
      <c r="A57" s="938">
        <f t="shared" si="0"/>
        <v>45</v>
      </c>
      <c r="B57" s="939"/>
      <c r="C57" s="940">
        <v>1</v>
      </c>
      <c r="D57" s="841" t="s">
        <v>15</v>
      </c>
      <c r="E57" s="821">
        <v>0.5</v>
      </c>
      <c r="F57" s="821"/>
    </row>
    <row r="58" spans="1:7" x14ac:dyDescent="0.25">
      <c r="A58" s="938">
        <f t="shared" si="0"/>
        <v>46</v>
      </c>
      <c r="B58" s="939" t="s">
        <v>356</v>
      </c>
      <c r="C58" s="940">
        <v>6</v>
      </c>
      <c r="D58" s="841" t="s">
        <v>201</v>
      </c>
      <c r="E58" s="821">
        <v>287</v>
      </c>
      <c r="F58" s="788"/>
    </row>
    <row r="59" spans="1:7" x14ac:dyDescent="0.25">
      <c r="A59" s="928">
        <f t="shared" si="0"/>
        <v>47</v>
      </c>
      <c r="B59" s="929" t="s">
        <v>393</v>
      </c>
      <c r="C59" s="930">
        <v>1</v>
      </c>
      <c r="D59" s="747" t="s">
        <v>26</v>
      </c>
      <c r="E59" s="775">
        <v>8.3960000000000008</v>
      </c>
      <c r="F59" s="775">
        <v>5.42</v>
      </c>
    </row>
    <row r="60" spans="1:7" ht="26.4" x14ac:dyDescent="0.25">
      <c r="A60" s="928">
        <v>48</v>
      </c>
      <c r="B60" s="935" t="s">
        <v>476</v>
      </c>
      <c r="C60" s="930">
        <v>1</v>
      </c>
      <c r="D60" s="747" t="s">
        <v>26</v>
      </c>
      <c r="E60" s="775">
        <v>2.6680000000000001</v>
      </c>
      <c r="F60" s="775"/>
    </row>
    <row r="61" spans="1:7" x14ac:dyDescent="0.25">
      <c r="A61" s="928">
        <v>49</v>
      </c>
      <c r="B61" s="929" t="s">
        <v>1</v>
      </c>
      <c r="C61" s="930">
        <v>1</v>
      </c>
      <c r="D61" s="956" t="s">
        <v>1</v>
      </c>
      <c r="E61" s="775">
        <f>1306.6+15.1</f>
        <v>1321.6999999999998</v>
      </c>
      <c r="F61" s="775">
        <f>1221.471+15.1</f>
        <v>1236.5709999999999</v>
      </c>
    </row>
    <row r="62" spans="1:7" x14ac:dyDescent="0.25">
      <c r="A62" s="928">
        <v>50</v>
      </c>
      <c r="B62" s="929" t="s">
        <v>352</v>
      </c>
      <c r="C62" s="930">
        <v>4</v>
      </c>
      <c r="D62" s="849" t="s">
        <v>6</v>
      </c>
      <c r="E62" s="775">
        <v>287.89999999999998</v>
      </c>
      <c r="F62" s="830">
        <f>185.21-5.29307</f>
        <v>179.91693000000001</v>
      </c>
    </row>
    <row r="63" spans="1:7" ht="13.8" thickBot="1" x14ac:dyDescent="0.3">
      <c r="A63" s="944">
        <v>51</v>
      </c>
      <c r="B63" s="945" t="s">
        <v>394</v>
      </c>
      <c r="C63" s="946">
        <v>4</v>
      </c>
      <c r="D63" s="896" t="s">
        <v>248</v>
      </c>
      <c r="E63" s="850">
        <v>161</v>
      </c>
      <c r="F63" s="850">
        <f>88-7.78484</f>
        <v>80.215159999999997</v>
      </c>
    </row>
    <row r="64" spans="1:7" ht="27" thickBot="1" x14ac:dyDescent="0.3">
      <c r="A64" s="947">
        <v>52</v>
      </c>
      <c r="B64" s="948" t="s">
        <v>532</v>
      </c>
      <c r="C64" s="949"/>
      <c r="D64" s="855"/>
      <c r="E64" s="757">
        <f>E63+E62+E61+E59+E58+E51+E50+E49+E36+E32+E28+E27+E26+E22+SUM(E13:E21)+E60</f>
        <v>5047.9640000000009</v>
      </c>
      <c r="F64" s="891">
        <f>F63+F62+F61+F59+F58+F51+F50+F49+F36+F32+F28+F27+F26+F22+SUM(F13:F21)+F60</f>
        <v>2437.5080900000003</v>
      </c>
      <c r="G64" s="921"/>
    </row>
    <row r="65" spans="1:9" x14ac:dyDescent="0.25">
      <c r="A65" s="922">
        <v>53</v>
      </c>
      <c r="B65" s="950" t="s">
        <v>313</v>
      </c>
      <c r="C65" s="951">
        <v>2</v>
      </c>
      <c r="D65" s="957" t="s">
        <v>500</v>
      </c>
      <c r="E65" s="958">
        <v>9682.1</v>
      </c>
      <c r="F65" s="958">
        <v>9334.0589999999993</v>
      </c>
      <c r="I65" s="921"/>
    </row>
    <row r="66" spans="1:9" x14ac:dyDescent="0.25">
      <c r="A66" s="928">
        <v>54</v>
      </c>
      <c r="B66" s="933" t="s">
        <v>396</v>
      </c>
      <c r="C66" s="934">
        <v>4</v>
      </c>
      <c r="D66" s="849"/>
      <c r="E66" s="775">
        <f>E67+E68</f>
        <v>179.6</v>
      </c>
      <c r="F66" s="775">
        <f>F67+F68</f>
        <v>2.7160000000000002</v>
      </c>
    </row>
    <row r="67" spans="1:9" x14ac:dyDescent="0.25">
      <c r="A67" s="938">
        <v>55</v>
      </c>
      <c r="B67" s="952" t="s">
        <v>436</v>
      </c>
      <c r="C67" s="953"/>
      <c r="D67" s="803" t="s">
        <v>117</v>
      </c>
      <c r="E67" s="821">
        <v>176.1</v>
      </c>
      <c r="F67" s="821"/>
      <c r="H67" s="919"/>
    </row>
    <row r="68" spans="1:9" x14ac:dyDescent="0.25">
      <c r="A68" s="938">
        <v>56</v>
      </c>
      <c r="B68" s="952" t="s">
        <v>610</v>
      </c>
      <c r="C68" s="953">
        <v>1</v>
      </c>
      <c r="D68" s="803" t="s">
        <v>26</v>
      </c>
      <c r="E68" s="821">
        <v>3.5</v>
      </c>
      <c r="F68" s="821">
        <f>1.8+0.916</f>
        <v>2.7160000000000002</v>
      </c>
    </row>
    <row r="69" spans="1:9" x14ac:dyDescent="0.25">
      <c r="A69" s="928">
        <v>57</v>
      </c>
      <c r="B69" s="935" t="s">
        <v>397</v>
      </c>
      <c r="C69" s="936">
        <v>3</v>
      </c>
      <c r="D69" s="849" t="s">
        <v>278</v>
      </c>
      <c r="E69" s="775">
        <v>33.564</v>
      </c>
      <c r="F69" s="775"/>
    </row>
    <row r="70" spans="1:9" ht="26.4" x14ac:dyDescent="0.25">
      <c r="A70" s="928">
        <v>58</v>
      </c>
      <c r="B70" s="935" t="s">
        <v>369</v>
      </c>
      <c r="C70" s="936">
        <v>1</v>
      </c>
      <c r="D70" s="849" t="s">
        <v>26</v>
      </c>
      <c r="E70" s="775">
        <v>23.286999999999999</v>
      </c>
      <c r="F70" s="775">
        <v>22.954000000000001</v>
      </c>
    </row>
    <row r="71" spans="1:9" ht="26.4" x14ac:dyDescent="0.25">
      <c r="A71" s="928">
        <v>59</v>
      </c>
      <c r="B71" s="935" t="s">
        <v>368</v>
      </c>
      <c r="C71" s="936">
        <v>2</v>
      </c>
      <c r="D71" s="849" t="s">
        <v>34</v>
      </c>
      <c r="E71" s="775">
        <v>134.9</v>
      </c>
      <c r="F71" s="775">
        <v>100.893</v>
      </c>
    </row>
    <row r="72" spans="1:9" ht="26.4" x14ac:dyDescent="0.25">
      <c r="A72" s="928">
        <v>60</v>
      </c>
      <c r="B72" s="755" t="s">
        <v>410</v>
      </c>
      <c r="C72" s="768">
        <v>2</v>
      </c>
      <c r="D72" s="849" t="s">
        <v>277</v>
      </c>
      <c r="E72" s="775">
        <v>0.8</v>
      </c>
      <c r="F72" s="775"/>
    </row>
    <row r="73" spans="1:9" x14ac:dyDescent="0.25">
      <c r="A73" s="928">
        <v>61</v>
      </c>
      <c r="B73" s="755" t="s">
        <v>398</v>
      </c>
      <c r="C73" s="768">
        <v>2</v>
      </c>
      <c r="D73" s="849" t="s">
        <v>395</v>
      </c>
      <c r="E73" s="775">
        <v>131</v>
      </c>
      <c r="F73" s="901">
        <f>28.71578-0.00997</f>
        <v>28.70581</v>
      </c>
    </row>
    <row r="74" spans="1:9" ht="26.4" x14ac:dyDescent="0.25">
      <c r="A74" s="928">
        <v>62</v>
      </c>
      <c r="B74" s="755" t="s">
        <v>424</v>
      </c>
      <c r="C74" s="768">
        <v>2</v>
      </c>
      <c r="D74" s="849" t="s">
        <v>395</v>
      </c>
      <c r="E74" s="775">
        <v>52.581000000000003</v>
      </c>
      <c r="F74" s="775">
        <v>30.463999999999999</v>
      </c>
    </row>
    <row r="75" spans="1:9" ht="26.4" x14ac:dyDescent="0.25">
      <c r="A75" s="928">
        <v>63</v>
      </c>
      <c r="B75" s="767" t="s">
        <v>620</v>
      </c>
      <c r="C75" s="768"/>
      <c r="D75" s="849"/>
      <c r="E75" s="830">
        <f>112.19267-10.2</f>
        <v>101.99267</v>
      </c>
      <c r="F75" s="775">
        <f>F76+F77</f>
        <v>46.807000000000002</v>
      </c>
    </row>
    <row r="76" spans="1:9" x14ac:dyDescent="0.25">
      <c r="A76" s="938">
        <v>64</v>
      </c>
      <c r="B76" s="866" t="s">
        <v>436</v>
      </c>
      <c r="C76" s="735">
        <v>4</v>
      </c>
      <c r="D76" s="803" t="s">
        <v>117</v>
      </c>
      <c r="E76" s="733">
        <f>110.00667-10</f>
        <v>100.00667</v>
      </c>
      <c r="F76" s="821">
        <v>45</v>
      </c>
      <c r="G76" s="959"/>
    </row>
    <row r="77" spans="1:9" x14ac:dyDescent="0.25">
      <c r="A77" s="938">
        <v>65</v>
      </c>
      <c r="B77" s="866"/>
      <c r="C77" s="735">
        <v>1</v>
      </c>
      <c r="D77" s="803" t="s">
        <v>26</v>
      </c>
      <c r="E77" s="821">
        <f>2.186-0.2</f>
        <v>1.986</v>
      </c>
      <c r="F77" s="821">
        <f>1.515+0.492-0.2</f>
        <v>1.8069999999999997</v>
      </c>
    </row>
    <row r="78" spans="1:9" ht="26.4" x14ac:dyDescent="0.25">
      <c r="A78" s="928">
        <v>66</v>
      </c>
      <c r="B78" s="767" t="s">
        <v>621</v>
      </c>
      <c r="C78" s="768">
        <v>4</v>
      </c>
      <c r="D78" s="849" t="s">
        <v>117</v>
      </c>
      <c r="E78" s="775">
        <f>E79+E80</f>
        <v>92.330000000000013</v>
      </c>
      <c r="F78" s="775">
        <f>F79+F80</f>
        <v>2.129</v>
      </c>
    </row>
    <row r="79" spans="1:9" x14ac:dyDescent="0.25">
      <c r="A79" s="938">
        <v>67</v>
      </c>
      <c r="B79" s="866" t="s">
        <v>436</v>
      </c>
      <c r="C79" s="735">
        <v>4</v>
      </c>
      <c r="D79" s="803" t="s">
        <v>117</v>
      </c>
      <c r="E79" s="821">
        <v>89.641000000000005</v>
      </c>
      <c r="F79" s="821"/>
    </row>
    <row r="80" spans="1:9" x14ac:dyDescent="0.25">
      <c r="A80" s="938">
        <v>68</v>
      </c>
      <c r="B80" s="866" t="s">
        <v>610</v>
      </c>
      <c r="C80" s="735">
        <v>1</v>
      </c>
      <c r="D80" s="803" t="s">
        <v>26</v>
      </c>
      <c r="E80" s="821">
        <v>2.6890000000000001</v>
      </c>
      <c r="F80" s="821">
        <f>1.9+0.494-0.265</f>
        <v>2.129</v>
      </c>
    </row>
    <row r="81" spans="1:6" x14ac:dyDescent="0.25">
      <c r="A81" s="928">
        <f>A80+1</f>
        <v>69</v>
      </c>
      <c r="B81" s="767" t="s">
        <v>501</v>
      </c>
      <c r="C81" s="858"/>
      <c r="D81" s="849"/>
      <c r="E81" s="775">
        <v>24.678999999999998</v>
      </c>
      <c r="F81" s="734"/>
    </row>
    <row r="82" spans="1:6" x14ac:dyDescent="0.25">
      <c r="A82" s="938">
        <v>70</v>
      </c>
      <c r="B82" s="866" t="s">
        <v>611</v>
      </c>
      <c r="C82" s="877">
        <v>4</v>
      </c>
      <c r="D82" s="803" t="s">
        <v>117</v>
      </c>
      <c r="E82" s="821">
        <v>24.678999999999998</v>
      </c>
      <c r="F82" s="905"/>
    </row>
    <row r="83" spans="1:6" x14ac:dyDescent="0.25">
      <c r="A83" s="938">
        <v>71</v>
      </c>
      <c r="B83" s="866" t="s">
        <v>610</v>
      </c>
      <c r="C83" s="877">
        <v>1</v>
      </c>
      <c r="D83" s="803" t="s">
        <v>26</v>
      </c>
      <c r="E83" s="821">
        <v>-3.5249999999999999</v>
      </c>
      <c r="F83" s="821">
        <v>-1.5149999999999999</v>
      </c>
    </row>
    <row r="84" spans="1:6" x14ac:dyDescent="0.25">
      <c r="A84" s="863">
        <v>72</v>
      </c>
      <c r="B84" s="755" t="s">
        <v>447</v>
      </c>
      <c r="C84" s="768">
        <v>5</v>
      </c>
      <c r="D84" s="849" t="s">
        <v>381</v>
      </c>
      <c r="E84" s="775">
        <f>1587+666</f>
        <v>2253</v>
      </c>
      <c r="F84" s="775"/>
    </row>
    <row r="85" spans="1:6" ht="26.4" x14ac:dyDescent="0.25">
      <c r="A85" s="928">
        <v>73</v>
      </c>
      <c r="B85" s="767" t="s">
        <v>468</v>
      </c>
      <c r="C85" s="858">
        <v>4</v>
      </c>
      <c r="D85" s="849" t="s">
        <v>248</v>
      </c>
      <c r="E85" s="775">
        <v>56.75</v>
      </c>
      <c r="F85" s="775">
        <v>55.938000000000002</v>
      </c>
    </row>
    <row r="86" spans="1:6" ht="26.4" x14ac:dyDescent="0.25">
      <c r="A86" s="928">
        <v>74</v>
      </c>
      <c r="B86" s="767" t="s">
        <v>641</v>
      </c>
      <c r="C86" s="768"/>
      <c r="D86" s="849"/>
      <c r="E86" s="775">
        <f>E87+E88</f>
        <v>46.391000000000005</v>
      </c>
      <c r="F86" s="775">
        <f>F87+F88</f>
        <v>45.427999999999997</v>
      </c>
    </row>
    <row r="87" spans="1:6" x14ac:dyDescent="0.25">
      <c r="A87" s="938">
        <v>75</v>
      </c>
      <c r="B87" s="839" t="s">
        <v>44</v>
      </c>
      <c r="C87" s="735">
        <v>4</v>
      </c>
      <c r="D87" s="803" t="s">
        <v>27</v>
      </c>
      <c r="E87" s="821">
        <v>34.963000000000001</v>
      </c>
      <c r="F87" s="821">
        <v>34.463000000000001</v>
      </c>
    </row>
    <row r="88" spans="1:6" x14ac:dyDescent="0.25">
      <c r="A88" s="938">
        <v>76</v>
      </c>
      <c r="B88" s="839"/>
      <c r="C88" s="735">
        <v>4</v>
      </c>
      <c r="D88" s="803" t="s">
        <v>248</v>
      </c>
      <c r="E88" s="821">
        <v>11.428000000000001</v>
      </c>
      <c r="F88" s="821">
        <v>10.965</v>
      </c>
    </row>
    <row r="89" spans="1:6" ht="26.4" x14ac:dyDescent="0.25">
      <c r="A89" s="928">
        <v>77</v>
      </c>
      <c r="B89" s="767" t="s">
        <v>622</v>
      </c>
      <c r="C89" s="768"/>
      <c r="D89" s="849"/>
      <c r="E89" s="830">
        <f>E90+E91</f>
        <v>68.179749999999999</v>
      </c>
      <c r="F89" s="775"/>
    </row>
    <row r="90" spans="1:6" x14ac:dyDescent="0.25">
      <c r="A90" s="938">
        <v>78</v>
      </c>
      <c r="B90" s="839" t="s">
        <v>44</v>
      </c>
      <c r="C90" s="735">
        <v>4</v>
      </c>
      <c r="D90" s="803" t="s">
        <v>117</v>
      </c>
      <c r="E90" s="975">
        <f>61.54457+5.29834</f>
        <v>66.842910000000003</v>
      </c>
      <c r="F90" s="821"/>
    </row>
    <row r="91" spans="1:6" x14ac:dyDescent="0.25">
      <c r="A91" s="938">
        <v>79</v>
      </c>
      <c r="B91" s="866" t="s">
        <v>610</v>
      </c>
      <c r="C91" s="735">
        <v>1</v>
      </c>
      <c r="D91" s="803" t="s">
        <v>26</v>
      </c>
      <c r="E91" s="975">
        <f>1.23087+0.10597</f>
        <v>1.3368399999999998</v>
      </c>
      <c r="F91" s="821"/>
    </row>
    <row r="92" spans="1:6" ht="39.6" x14ac:dyDescent="0.25">
      <c r="A92" s="928">
        <v>80</v>
      </c>
      <c r="B92" s="767" t="s">
        <v>623</v>
      </c>
      <c r="C92" s="768">
        <v>2</v>
      </c>
      <c r="D92" s="849"/>
      <c r="E92" s="976">
        <v>29.568000000000001</v>
      </c>
      <c r="F92" s="775">
        <f>SUM(F93:F101)</f>
        <v>16.624999999999996</v>
      </c>
    </row>
    <row r="93" spans="1:6" x14ac:dyDescent="0.25">
      <c r="A93" s="938">
        <v>81</v>
      </c>
      <c r="B93" s="788"/>
      <c r="C93" s="735"/>
      <c r="D93" s="788" t="s">
        <v>267</v>
      </c>
      <c r="E93" s="821">
        <v>3.528</v>
      </c>
      <c r="F93" s="821">
        <v>0.52</v>
      </c>
    </row>
    <row r="94" spans="1:6" x14ac:dyDescent="0.25">
      <c r="A94" s="938">
        <v>82</v>
      </c>
      <c r="B94" s="788"/>
      <c r="C94" s="735"/>
      <c r="D94" s="788" t="s">
        <v>268</v>
      </c>
      <c r="E94" s="821">
        <v>4.0350000000000001</v>
      </c>
      <c r="F94" s="821">
        <v>1.0940000000000001</v>
      </c>
    </row>
    <row r="95" spans="1:6" x14ac:dyDescent="0.25">
      <c r="A95" s="938">
        <v>83</v>
      </c>
      <c r="B95" s="788"/>
      <c r="C95" s="735"/>
      <c r="D95" s="788" t="s">
        <v>269</v>
      </c>
      <c r="E95" s="821">
        <v>0.79300000000000004</v>
      </c>
      <c r="F95" s="821">
        <v>0.115</v>
      </c>
    </row>
    <row r="96" spans="1:6" x14ac:dyDescent="0.25">
      <c r="A96" s="938">
        <v>84</v>
      </c>
      <c r="B96" s="788"/>
      <c r="C96" s="735"/>
      <c r="D96" s="788" t="s">
        <v>270</v>
      </c>
      <c r="E96" s="821">
        <v>1.06</v>
      </c>
      <c r="F96" s="821">
        <v>0.157</v>
      </c>
    </row>
    <row r="97" spans="1:6" x14ac:dyDescent="0.25">
      <c r="A97" s="938">
        <v>85</v>
      </c>
      <c r="B97" s="788"/>
      <c r="C97" s="735"/>
      <c r="D97" s="788" t="s">
        <v>98</v>
      </c>
      <c r="E97" s="821">
        <v>11.836</v>
      </c>
      <c r="F97" s="821">
        <v>11.664999999999999</v>
      </c>
    </row>
    <row r="98" spans="1:6" x14ac:dyDescent="0.25">
      <c r="A98" s="938">
        <v>86</v>
      </c>
      <c r="B98" s="788"/>
      <c r="C98" s="735"/>
      <c r="D98" s="788" t="s">
        <v>20</v>
      </c>
      <c r="E98" s="821">
        <v>2.48</v>
      </c>
      <c r="F98" s="821">
        <v>2.444</v>
      </c>
    </row>
    <row r="99" spans="1:6" x14ac:dyDescent="0.25">
      <c r="A99" s="938">
        <v>87</v>
      </c>
      <c r="B99" s="788"/>
      <c r="C99" s="735"/>
      <c r="D99" s="866" t="s">
        <v>536</v>
      </c>
      <c r="E99" s="821">
        <v>3.18</v>
      </c>
      <c r="F99" s="821">
        <v>0.47299999999999998</v>
      </c>
    </row>
    <row r="100" spans="1:6" x14ac:dyDescent="0.25">
      <c r="A100" s="938">
        <v>88</v>
      </c>
      <c r="B100" s="788"/>
      <c r="C100" s="735"/>
      <c r="D100" s="866" t="s">
        <v>105</v>
      </c>
      <c r="E100" s="821">
        <v>0.70399999999999996</v>
      </c>
      <c r="F100" s="821">
        <v>0.10199999999999999</v>
      </c>
    </row>
    <row r="101" spans="1:6" x14ac:dyDescent="0.25">
      <c r="A101" s="938">
        <v>89</v>
      </c>
      <c r="B101" s="788"/>
      <c r="C101" s="735"/>
      <c r="D101" s="866" t="s">
        <v>566</v>
      </c>
      <c r="E101" s="821">
        <v>0.35599999999999998</v>
      </c>
      <c r="F101" s="821">
        <v>5.5E-2</v>
      </c>
    </row>
    <row r="102" spans="1:6" ht="26.4" x14ac:dyDescent="0.25">
      <c r="A102" s="938"/>
      <c r="B102" s="788"/>
      <c r="C102" s="735"/>
      <c r="D102" s="866" t="s">
        <v>529</v>
      </c>
      <c r="E102" s="821">
        <v>0.35599999999999998</v>
      </c>
      <c r="F102" s="821">
        <v>5.5E-2</v>
      </c>
    </row>
    <row r="103" spans="1:6" x14ac:dyDescent="0.25">
      <c r="A103" s="938"/>
      <c r="B103" s="788"/>
      <c r="C103" s="735"/>
      <c r="D103" s="866" t="s">
        <v>279</v>
      </c>
      <c r="E103" s="821">
        <v>1.24</v>
      </c>
      <c r="F103" s="821">
        <v>1.222</v>
      </c>
    </row>
    <row r="104" spans="1:6" x14ac:dyDescent="0.25">
      <c r="A104" s="928">
        <v>90</v>
      </c>
      <c r="B104" s="755" t="s">
        <v>472</v>
      </c>
      <c r="C104" s="768">
        <v>3</v>
      </c>
      <c r="D104" s="849" t="s">
        <v>201</v>
      </c>
      <c r="E104" s="830">
        <v>18.992999999999999</v>
      </c>
      <c r="F104" s="775">
        <v>0.379</v>
      </c>
    </row>
    <row r="105" spans="1:6" x14ac:dyDescent="0.25">
      <c r="A105" s="928">
        <f t="shared" ref="A105:A111" si="1">A104+1</f>
        <v>91</v>
      </c>
      <c r="B105" s="767" t="s">
        <v>475</v>
      </c>
      <c r="C105" s="768">
        <v>5</v>
      </c>
      <c r="D105" s="849" t="s">
        <v>381</v>
      </c>
      <c r="E105" s="830">
        <v>2493.8000000000002</v>
      </c>
      <c r="F105" s="775"/>
    </row>
    <row r="106" spans="1:6" x14ac:dyDescent="0.25">
      <c r="A106" s="928">
        <f t="shared" si="1"/>
        <v>92</v>
      </c>
      <c r="B106" s="767" t="s">
        <v>624</v>
      </c>
      <c r="C106" s="768"/>
      <c r="D106" s="849"/>
      <c r="E106" s="830">
        <f>E107+E108</f>
        <v>28.693200000000001</v>
      </c>
      <c r="F106" s="775"/>
    </row>
    <row r="107" spans="1:6" x14ac:dyDescent="0.25">
      <c r="A107" s="938">
        <f t="shared" si="1"/>
        <v>93</v>
      </c>
      <c r="B107" s="866" t="s">
        <v>44</v>
      </c>
      <c r="C107" s="735">
        <v>4</v>
      </c>
      <c r="D107" s="803" t="s">
        <v>117</v>
      </c>
      <c r="E107" s="733">
        <v>27.58962</v>
      </c>
      <c r="F107" s="821"/>
    </row>
    <row r="108" spans="1:6" x14ac:dyDescent="0.25">
      <c r="A108" s="938">
        <f t="shared" si="1"/>
        <v>94</v>
      </c>
      <c r="B108" s="866" t="s">
        <v>610</v>
      </c>
      <c r="C108" s="735">
        <v>1</v>
      </c>
      <c r="D108" s="803" t="s">
        <v>26</v>
      </c>
      <c r="E108" s="733">
        <v>1.10358</v>
      </c>
      <c r="F108" s="821">
        <f>0.87</f>
        <v>0.87</v>
      </c>
    </row>
    <row r="109" spans="1:6" ht="52.8" x14ac:dyDescent="0.25">
      <c r="A109" s="928">
        <f t="shared" si="1"/>
        <v>95</v>
      </c>
      <c r="B109" s="767" t="s">
        <v>642</v>
      </c>
      <c r="C109" s="768"/>
      <c r="D109" s="767" t="s">
        <v>279</v>
      </c>
      <c r="E109" s="775">
        <v>6.3719999999999999</v>
      </c>
      <c r="F109" s="821"/>
    </row>
    <row r="110" spans="1:6" ht="39.6" x14ac:dyDescent="0.25">
      <c r="A110" s="928">
        <f t="shared" si="1"/>
        <v>96</v>
      </c>
      <c r="B110" s="767" t="s">
        <v>511</v>
      </c>
      <c r="C110" s="768">
        <v>6</v>
      </c>
      <c r="D110" s="849" t="s">
        <v>126</v>
      </c>
      <c r="E110" s="830">
        <v>14.891719999999999</v>
      </c>
      <c r="F110" s="821"/>
    </row>
    <row r="111" spans="1:6" ht="39.6" x14ac:dyDescent="0.25">
      <c r="A111" s="928">
        <f t="shared" si="1"/>
        <v>97</v>
      </c>
      <c r="B111" s="767" t="s">
        <v>535</v>
      </c>
      <c r="C111" s="768">
        <v>5</v>
      </c>
      <c r="D111" s="767" t="s">
        <v>512</v>
      </c>
      <c r="E111" s="830">
        <v>59.293869999999998</v>
      </c>
      <c r="F111" s="821"/>
    </row>
    <row r="112" spans="1:6" ht="39.6" x14ac:dyDescent="0.25">
      <c r="A112" s="954">
        <v>98</v>
      </c>
      <c r="B112" s="767" t="s">
        <v>580</v>
      </c>
      <c r="C112" s="869">
        <v>5</v>
      </c>
      <c r="D112" s="767" t="s">
        <v>512</v>
      </c>
      <c r="E112" s="830">
        <v>0.39688000000000001</v>
      </c>
      <c r="F112" s="821"/>
    </row>
    <row r="113" spans="1:8" ht="39.6" x14ac:dyDescent="0.25">
      <c r="A113" s="863">
        <v>99</v>
      </c>
      <c r="B113" s="824" t="s">
        <v>625</v>
      </c>
      <c r="C113" s="829">
        <v>4</v>
      </c>
      <c r="D113" s="849" t="s">
        <v>117</v>
      </c>
      <c r="E113" s="775">
        <f>3163.109+28.641-834.4</f>
        <v>2357.35</v>
      </c>
      <c r="F113" s="821"/>
    </row>
    <row r="114" spans="1:8" ht="52.8" x14ac:dyDescent="0.25">
      <c r="A114" s="928">
        <v>100</v>
      </c>
      <c r="B114" s="865" t="s">
        <v>626</v>
      </c>
      <c r="C114" s="768">
        <v>2.4</v>
      </c>
      <c r="D114" s="881"/>
      <c r="E114" s="775">
        <f>E115+E116</f>
        <v>21.874000000000002</v>
      </c>
      <c r="F114" s="821"/>
      <c r="G114" s="959"/>
    </row>
    <row r="115" spans="1:8" x14ac:dyDescent="0.25">
      <c r="A115" s="938">
        <v>101</v>
      </c>
      <c r="B115" s="823" t="s">
        <v>400</v>
      </c>
      <c r="C115" s="735">
        <v>4</v>
      </c>
      <c r="D115" s="803" t="s">
        <v>248</v>
      </c>
      <c r="E115" s="875">
        <f>13.123+3.796</f>
        <v>16.919</v>
      </c>
      <c r="F115" s="875"/>
    </row>
    <row r="116" spans="1:8" ht="26.4" x14ac:dyDescent="0.25">
      <c r="A116" s="938">
        <v>102</v>
      </c>
      <c r="B116" s="785"/>
      <c r="C116" s="780">
        <v>2</v>
      </c>
      <c r="D116" s="758" t="s">
        <v>529</v>
      </c>
      <c r="E116" s="769">
        <f>3.74+1.215</f>
        <v>4.9550000000000001</v>
      </c>
      <c r="F116" s="875"/>
    </row>
    <row r="117" spans="1:8" ht="52.8" x14ac:dyDescent="0.25">
      <c r="A117" s="954">
        <v>103</v>
      </c>
      <c r="B117" s="767" t="s">
        <v>547</v>
      </c>
      <c r="C117" s="829">
        <v>4</v>
      </c>
      <c r="D117" s="896" t="s">
        <v>117</v>
      </c>
      <c r="E117" s="850">
        <f>4.547+5.503</f>
        <v>10.050000000000001</v>
      </c>
      <c r="F117" s="850"/>
    </row>
    <row r="118" spans="1:8" ht="26.4" x14ac:dyDescent="0.25">
      <c r="A118" s="954">
        <v>104</v>
      </c>
      <c r="B118" s="767" t="s">
        <v>542</v>
      </c>
      <c r="C118" s="768">
        <v>1</v>
      </c>
      <c r="D118" s="849" t="s">
        <v>637</v>
      </c>
      <c r="E118" s="775">
        <v>5.9</v>
      </c>
      <c r="F118" s="775">
        <v>5.8159999999999998</v>
      </c>
    </row>
    <row r="119" spans="1:8" ht="26.4" x14ac:dyDescent="0.25">
      <c r="A119" s="844">
        <v>105</v>
      </c>
      <c r="B119" s="767" t="s">
        <v>591</v>
      </c>
      <c r="C119" s="768">
        <v>6</v>
      </c>
      <c r="D119" s="849" t="s">
        <v>126</v>
      </c>
      <c r="E119" s="773">
        <f>1.116+6.5565</f>
        <v>7.6724999999999994</v>
      </c>
      <c r="F119" s="775"/>
    </row>
    <row r="120" spans="1:8" ht="26.4" x14ac:dyDescent="0.25">
      <c r="A120" s="954">
        <v>106</v>
      </c>
      <c r="B120" s="767" t="s">
        <v>592</v>
      </c>
      <c r="C120" s="768">
        <v>6</v>
      </c>
      <c r="D120" s="849" t="s">
        <v>126</v>
      </c>
      <c r="E120" s="773">
        <v>16.495069999999998</v>
      </c>
      <c r="F120" s="775"/>
    </row>
    <row r="121" spans="1:8" ht="31.8" thickBot="1" x14ac:dyDescent="0.35">
      <c r="A121" s="955"/>
      <c r="B121" s="820" t="s">
        <v>674</v>
      </c>
      <c r="C121" s="829">
        <v>5</v>
      </c>
      <c r="D121" s="784" t="s">
        <v>512</v>
      </c>
      <c r="E121" s="880">
        <v>3.6743299999999999</v>
      </c>
      <c r="F121" s="850"/>
    </row>
    <row r="122" spans="1:8" ht="27" thickBot="1" x14ac:dyDescent="0.3">
      <c r="A122" s="955">
        <v>107</v>
      </c>
      <c r="B122" s="838" t="s">
        <v>603</v>
      </c>
      <c r="C122" s="829">
        <v>5</v>
      </c>
      <c r="D122" s="784" t="s">
        <v>512</v>
      </c>
      <c r="E122" s="880">
        <v>31.616</v>
      </c>
      <c r="F122" s="850"/>
    </row>
    <row r="123" spans="1:8" ht="13.8" thickBot="1" x14ac:dyDescent="0.3">
      <c r="A123" s="987">
        <v>108</v>
      </c>
      <c r="B123" s="994" t="s">
        <v>825</v>
      </c>
      <c r="C123" s="995">
        <v>5</v>
      </c>
      <c r="D123" s="784" t="s">
        <v>512</v>
      </c>
      <c r="E123" s="996">
        <v>3.2637700000000001</v>
      </c>
      <c r="F123" s="988"/>
    </row>
    <row r="124" spans="1:8" ht="40.200000000000003" thickBot="1" x14ac:dyDescent="0.3">
      <c r="A124" s="947">
        <v>109</v>
      </c>
      <c r="B124" s="895" t="s">
        <v>574</v>
      </c>
      <c r="C124" s="806"/>
      <c r="D124" s="855"/>
      <c r="E124" s="757">
        <f>E65+E66+E69+E70+E71+E72+E73+E75+E81+E84+E74+E78+E85+E86+E89+E104+E105+E92+E106+E109+E110+E111+E113+E114+E117+E118+E119+E120+E122+E112+E121+E123</f>
        <v>17991.058760000004</v>
      </c>
      <c r="F124" s="891">
        <f>F65+F66+F69+F70+F71+F72+F73+F75+F81+F84+F74+F78+F85+F86+F89+F104+F105+F92+F106+F109+F110+F111+F113+F114+F117+F118+F119+F120+F122+F108</f>
        <v>9693.7838100000026</v>
      </c>
    </row>
    <row r="125" spans="1:8" ht="13.8" thickBot="1" x14ac:dyDescent="0.3">
      <c r="A125" s="947">
        <v>110</v>
      </c>
      <c r="B125" s="853" t="s">
        <v>575</v>
      </c>
      <c r="C125" s="760"/>
      <c r="D125" s="853"/>
      <c r="E125" s="879">
        <f>E64+E124</f>
        <v>23039.022760000003</v>
      </c>
      <c r="F125" s="879">
        <f>F64+F124</f>
        <v>12131.291900000004</v>
      </c>
      <c r="G125" s="879"/>
      <c r="H125" s="879"/>
    </row>
  </sheetData>
  <mergeCells count="6">
    <mergeCell ref="F11:F12"/>
    <mergeCell ref="A11:A12"/>
    <mergeCell ref="B11:B12"/>
    <mergeCell ref="C11:C12"/>
    <mergeCell ref="D11:D12"/>
    <mergeCell ref="E11:E12"/>
  </mergeCells>
  <pageMargins left="0.43307086614173229" right="0.23622047244094491" top="0.35433070866141736" bottom="0.35433070866141736" header="0.31496062992125984" footer="0.11811023622047245"/>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DAF2E-A91D-4AF1-826E-32378433182E}">
  <dimension ref="A4:H73"/>
  <sheetViews>
    <sheetView workbookViewId="0">
      <selection activeCell="L17" sqref="L17"/>
    </sheetView>
  </sheetViews>
  <sheetFormatPr defaultRowHeight="13.2" x14ac:dyDescent="0.25"/>
  <cols>
    <col min="1" max="1" width="4.5546875" customWidth="1"/>
    <col min="2" max="2" width="42.88671875" customWidth="1"/>
    <col min="3" max="3" width="12.109375" customWidth="1"/>
    <col min="4" max="4" width="15.5546875" customWidth="1"/>
    <col min="5" max="5" width="13" customWidth="1"/>
    <col min="6" max="6" width="12.44140625" customWidth="1"/>
    <col min="7" max="7" width="13.33203125" bestFit="1" customWidth="1"/>
  </cols>
  <sheetData>
    <row r="4" spans="1:8" ht="15.6" x14ac:dyDescent="0.3">
      <c r="B4" s="336"/>
      <c r="C4" s="336"/>
      <c r="D4" s="1" t="s">
        <v>25</v>
      </c>
      <c r="E4" s="1"/>
      <c r="F4" s="1"/>
      <c r="G4" s="6"/>
    </row>
    <row r="5" spans="1:8" ht="15.6" x14ac:dyDescent="0.3">
      <c r="D5" s="1" t="s">
        <v>675</v>
      </c>
      <c r="E5" s="2"/>
      <c r="F5" s="1"/>
      <c r="G5" s="6"/>
    </row>
    <row r="6" spans="1:8" ht="15.6" x14ac:dyDescent="0.3">
      <c r="B6" s="1"/>
      <c r="C6" s="1"/>
      <c r="D6" s="1" t="s">
        <v>676</v>
      </c>
      <c r="E6" s="1"/>
      <c r="F6" s="1"/>
      <c r="G6" s="6"/>
    </row>
    <row r="7" spans="1:8" ht="15.6" x14ac:dyDescent="0.3">
      <c r="B7" s="1"/>
      <c r="C7" s="1"/>
      <c r="D7" s="802" t="s">
        <v>483</v>
      </c>
      <c r="E7" s="802"/>
      <c r="F7" s="802"/>
      <c r="G7" s="802"/>
      <c r="H7" s="822"/>
    </row>
    <row r="8" spans="1:8" ht="15.6" x14ac:dyDescent="0.3">
      <c r="B8" s="1"/>
      <c r="C8" s="1"/>
      <c r="D8" s="802" t="s">
        <v>846</v>
      </c>
      <c r="E8" s="878"/>
      <c r="F8" s="802"/>
      <c r="G8" s="802"/>
      <c r="H8" s="822"/>
    </row>
    <row r="9" spans="1:8" ht="15.6" x14ac:dyDescent="0.3">
      <c r="B9" s="1"/>
      <c r="C9" s="1"/>
      <c r="D9" s="802" t="s">
        <v>484</v>
      </c>
      <c r="E9" s="802"/>
      <c r="F9" s="802"/>
      <c r="G9" s="802"/>
      <c r="H9" s="822"/>
    </row>
    <row r="10" spans="1:8" ht="15.6" x14ac:dyDescent="0.3">
      <c r="B10" s="1"/>
      <c r="C10" s="1"/>
      <c r="D10" s="1"/>
      <c r="E10" s="1"/>
      <c r="F10" s="1"/>
      <c r="G10" s="6"/>
    </row>
    <row r="11" spans="1:8" ht="15.6" x14ac:dyDescent="0.3">
      <c r="B11" s="2" t="s">
        <v>677</v>
      </c>
      <c r="C11" s="2"/>
      <c r="D11" s="2"/>
      <c r="E11" s="2"/>
    </row>
    <row r="12" spans="1:8" ht="15.6" x14ac:dyDescent="0.3">
      <c r="B12" s="2" t="s">
        <v>678</v>
      </c>
      <c r="C12" s="2"/>
      <c r="D12" s="2"/>
      <c r="E12" s="2"/>
    </row>
    <row r="13" spans="1:8" ht="15.6" x14ac:dyDescent="0.3">
      <c r="B13" s="1" t="s">
        <v>679</v>
      </c>
      <c r="C13" s="1"/>
    </row>
    <row r="14" spans="1:8" ht="13.8" thickBot="1" x14ac:dyDescent="0.3">
      <c r="B14" s="337"/>
      <c r="C14" s="337"/>
      <c r="D14" s="337"/>
      <c r="E14" s="337"/>
      <c r="F14" s="6" t="s">
        <v>680</v>
      </c>
    </row>
    <row r="15" spans="1:8" ht="13.8" x14ac:dyDescent="0.25">
      <c r="A15" s="1085" t="s">
        <v>705</v>
      </c>
      <c r="B15" s="1088" t="s">
        <v>681</v>
      </c>
      <c r="C15" s="338"/>
      <c r="D15" s="1082" t="s">
        <v>682</v>
      </c>
      <c r="E15" s="1082" t="s">
        <v>683</v>
      </c>
      <c r="F15" s="1091" t="s">
        <v>684</v>
      </c>
    </row>
    <row r="16" spans="1:8" ht="13.8" x14ac:dyDescent="0.25">
      <c r="A16" s="1086"/>
      <c r="B16" s="1089"/>
      <c r="C16" s="339" t="s">
        <v>374</v>
      </c>
      <c r="D16" s="1083"/>
      <c r="E16" s="1083"/>
      <c r="F16" s="1092"/>
    </row>
    <row r="17" spans="1:8" ht="54.75" customHeight="1" thickBot="1" x14ac:dyDescent="0.3">
      <c r="A17" s="1087"/>
      <c r="B17" s="1090"/>
      <c r="C17" s="340"/>
      <c r="D17" s="1084"/>
      <c r="E17" s="1084"/>
      <c r="F17" s="1093"/>
    </row>
    <row r="18" spans="1:8" ht="15.6" x14ac:dyDescent="0.3">
      <c r="A18" s="815">
        <v>1</v>
      </c>
      <c r="B18" s="897" t="s">
        <v>26</v>
      </c>
      <c r="C18" s="860">
        <v>1</v>
      </c>
      <c r="D18" s="756">
        <v>2404.4</v>
      </c>
      <c r="E18" s="756"/>
      <c r="F18" s="900"/>
      <c r="G18" s="341"/>
      <c r="H18" s="341"/>
    </row>
    <row r="19" spans="1:8" ht="18.75" customHeight="1" x14ac:dyDescent="0.3">
      <c r="A19" s="815">
        <f>A18+1</f>
        <v>2</v>
      </c>
      <c r="B19" s="759" t="s">
        <v>559</v>
      </c>
      <c r="C19" s="913">
        <v>1</v>
      </c>
      <c r="D19" s="344">
        <v>115004.34</v>
      </c>
      <c r="E19" s="344"/>
      <c r="F19" s="783"/>
    </row>
    <row r="20" spans="1:8" ht="21" customHeight="1" x14ac:dyDescent="0.3">
      <c r="A20" s="815">
        <f t="shared" ref="A20:A69" si="0">A19+1</f>
        <v>3</v>
      </c>
      <c r="B20" s="759" t="s">
        <v>248</v>
      </c>
      <c r="C20" s="913">
        <v>4</v>
      </c>
      <c r="D20" s="344">
        <v>19648.54</v>
      </c>
      <c r="E20" s="344"/>
      <c r="F20" s="345"/>
    </row>
    <row r="21" spans="1:8" ht="15.6" x14ac:dyDescent="0.3">
      <c r="A21" s="815">
        <f t="shared" si="0"/>
        <v>4</v>
      </c>
      <c r="B21" s="897" t="s">
        <v>3</v>
      </c>
      <c r="C21" s="856">
        <v>3</v>
      </c>
      <c r="D21" s="344">
        <v>13215.31</v>
      </c>
      <c r="E21" s="344"/>
      <c r="F21" s="345"/>
    </row>
    <row r="22" spans="1:8" ht="15.6" x14ac:dyDescent="0.3">
      <c r="A22" s="815">
        <f t="shared" si="0"/>
        <v>5</v>
      </c>
      <c r="B22" s="897" t="s">
        <v>4</v>
      </c>
      <c r="C22" s="856">
        <v>3</v>
      </c>
      <c r="D22" s="344">
        <v>19050.87</v>
      </c>
      <c r="E22" s="344"/>
      <c r="F22" s="345"/>
    </row>
    <row r="23" spans="1:8" ht="15.6" x14ac:dyDescent="0.3">
      <c r="A23" s="815">
        <f t="shared" si="0"/>
        <v>6</v>
      </c>
      <c r="B23" s="897" t="s">
        <v>685</v>
      </c>
      <c r="C23" s="856">
        <v>3</v>
      </c>
      <c r="D23" s="344">
        <v>168992.02</v>
      </c>
      <c r="E23" s="344"/>
      <c r="F23" s="345"/>
      <c r="H23" s="341"/>
    </row>
    <row r="24" spans="1:8" ht="15.6" x14ac:dyDescent="0.3">
      <c r="A24" s="815">
        <f t="shared" si="0"/>
        <v>7</v>
      </c>
      <c r="B24" s="897" t="s">
        <v>87</v>
      </c>
      <c r="C24" s="856">
        <v>2</v>
      </c>
      <c r="D24" s="344">
        <v>7823</v>
      </c>
      <c r="E24" s="344"/>
      <c r="F24" s="345"/>
    </row>
    <row r="25" spans="1:8" ht="22.5" customHeight="1" x14ac:dyDescent="0.3">
      <c r="A25" s="815">
        <f t="shared" si="0"/>
        <v>8</v>
      </c>
      <c r="B25" s="759" t="s">
        <v>27</v>
      </c>
      <c r="C25" s="913">
        <v>4</v>
      </c>
      <c r="D25" s="344">
        <v>21300</v>
      </c>
      <c r="E25" s="344"/>
      <c r="F25" s="345"/>
    </row>
    <row r="26" spans="1:8" ht="22.5" customHeight="1" x14ac:dyDescent="0.3">
      <c r="A26" s="815">
        <f t="shared" si="0"/>
        <v>9</v>
      </c>
      <c r="B26" s="759" t="s">
        <v>6</v>
      </c>
      <c r="C26" s="913">
        <v>4</v>
      </c>
      <c r="D26" s="344">
        <v>9199.3700000000008</v>
      </c>
      <c r="E26" s="344"/>
      <c r="F26" s="345"/>
      <c r="H26" s="341"/>
    </row>
    <row r="27" spans="1:8" ht="15.6" x14ac:dyDescent="0.3">
      <c r="A27" s="815">
        <f t="shared" si="0"/>
        <v>10</v>
      </c>
      <c r="B27" s="897" t="s">
        <v>7</v>
      </c>
      <c r="C27" s="856">
        <v>5</v>
      </c>
      <c r="D27" s="344">
        <v>1055.1500000000001</v>
      </c>
      <c r="E27" s="344"/>
      <c r="F27" s="345"/>
      <c r="G27" s="341"/>
    </row>
    <row r="28" spans="1:8" ht="15.6" x14ac:dyDescent="0.3">
      <c r="A28" s="815">
        <f t="shared" si="0"/>
        <v>11</v>
      </c>
      <c r="B28" s="897" t="s">
        <v>8</v>
      </c>
      <c r="C28" s="856">
        <v>1</v>
      </c>
      <c r="D28" s="344">
        <v>282.77999999999997</v>
      </c>
      <c r="E28" s="344"/>
      <c r="F28" s="345"/>
    </row>
    <row r="29" spans="1:8" ht="15.6" x14ac:dyDescent="0.3">
      <c r="A29" s="815">
        <f t="shared" si="0"/>
        <v>12</v>
      </c>
      <c r="B29" s="897" t="s">
        <v>9</v>
      </c>
      <c r="C29" s="856">
        <v>1</v>
      </c>
      <c r="D29" s="344">
        <v>4515.6000000000004</v>
      </c>
      <c r="E29" s="344"/>
      <c r="F29" s="345"/>
      <c r="H29" s="341"/>
    </row>
    <row r="30" spans="1:8" ht="15.6" x14ac:dyDescent="0.3">
      <c r="A30" s="815">
        <f t="shared" si="0"/>
        <v>13</v>
      </c>
      <c r="B30" s="897" t="s">
        <v>11</v>
      </c>
      <c r="C30" s="856">
        <v>1</v>
      </c>
      <c r="D30" s="344">
        <v>6033.46</v>
      </c>
      <c r="E30" s="344"/>
      <c r="F30" s="345"/>
      <c r="H30" s="342"/>
    </row>
    <row r="31" spans="1:8" ht="15.6" x14ac:dyDescent="0.3">
      <c r="A31" s="815">
        <f t="shared" si="0"/>
        <v>14</v>
      </c>
      <c r="B31" s="897" t="s">
        <v>90</v>
      </c>
      <c r="C31" s="856">
        <v>5</v>
      </c>
      <c r="D31" s="344">
        <v>285.82</v>
      </c>
      <c r="E31" s="344"/>
      <c r="F31" s="345"/>
      <c r="H31" s="341"/>
    </row>
    <row r="32" spans="1:8" ht="15.6" x14ac:dyDescent="0.3">
      <c r="A32" s="815">
        <f t="shared" si="0"/>
        <v>15</v>
      </c>
      <c r="B32" s="897" t="s">
        <v>14</v>
      </c>
      <c r="C32" s="856">
        <v>1</v>
      </c>
      <c r="D32" s="344">
        <v>372.26</v>
      </c>
      <c r="E32" s="344"/>
      <c r="F32" s="345"/>
      <c r="H32" s="341"/>
    </row>
    <row r="33" spans="1:8" ht="15.6" x14ac:dyDescent="0.3">
      <c r="A33" s="815">
        <f t="shared" si="0"/>
        <v>16</v>
      </c>
      <c r="B33" s="897" t="s">
        <v>28</v>
      </c>
      <c r="C33" s="856">
        <v>1</v>
      </c>
      <c r="D33" s="344">
        <v>4126</v>
      </c>
      <c r="E33" s="344"/>
      <c r="F33" s="345"/>
      <c r="G33" s="341"/>
      <c r="H33" s="341"/>
    </row>
    <row r="34" spans="1:8" ht="15.6" x14ac:dyDescent="0.3">
      <c r="A34" s="815">
        <f t="shared" si="0"/>
        <v>17</v>
      </c>
      <c r="B34" s="897" t="s">
        <v>16</v>
      </c>
      <c r="C34" s="856">
        <v>1</v>
      </c>
      <c r="D34" s="344">
        <v>7772.14</v>
      </c>
      <c r="E34" s="344"/>
      <c r="F34" s="345"/>
      <c r="H34" s="341"/>
    </row>
    <row r="35" spans="1:8" ht="15.6" x14ac:dyDescent="0.3">
      <c r="A35" s="815">
        <f t="shared" si="0"/>
        <v>18</v>
      </c>
      <c r="B35" s="897" t="s">
        <v>267</v>
      </c>
      <c r="C35" s="856">
        <v>2</v>
      </c>
      <c r="D35" s="344">
        <v>3087.81</v>
      </c>
      <c r="E35" s="344"/>
      <c r="F35" s="345"/>
    </row>
    <row r="36" spans="1:8" ht="15.6" x14ac:dyDescent="0.3">
      <c r="A36" s="815">
        <f t="shared" si="0"/>
        <v>19</v>
      </c>
      <c r="B36" s="897" t="s">
        <v>268</v>
      </c>
      <c r="C36" s="856">
        <v>2</v>
      </c>
      <c r="D36" s="344">
        <v>13485</v>
      </c>
      <c r="E36" s="344"/>
      <c r="F36" s="345"/>
    </row>
    <row r="37" spans="1:8" ht="15.6" x14ac:dyDescent="0.3">
      <c r="A37" s="815">
        <f t="shared" si="0"/>
        <v>20</v>
      </c>
      <c r="B37" s="897" t="s">
        <v>269</v>
      </c>
      <c r="C37" s="856">
        <v>2</v>
      </c>
      <c r="D37" s="344">
        <v>1383.08</v>
      </c>
      <c r="E37" s="344"/>
      <c r="F37" s="345"/>
      <c r="H37" s="341"/>
    </row>
    <row r="38" spans="1:8" ht="15.6" x14ac:dyDescent="0.3">
      <c r="A38" s="815">
        <f t="shared" si="0"/>
        <v>21</v>
      </c>
      <c r="B38" s="897" t="s">
        <v>270</v>
      </c>
      <c r="C38" s="856">
        <v>2</v>
      </c>
      <c r="D38" s="344">
        <v>4040.04</v>
      </c>
      <c r="E38" s="344"/>
      <c r="F38" s="345"/>
    </row>
    <row r="39" spans="1:8" ht="15.6" x14ac:dyDescent="0.3">
      <c r="A39" s="815">
        <f t="shared" si="0"/>
        <v>22</v>
      </c>
      <c r="B39" s="897" t="s">
        <v>657</v>
      </c>
      <c r="C39" s="856">
        <v>2</v>
      </c>
      <c r="D39" s="344">
        <v>1705.51</v>
      </c>
      <c r="E39" s="344"/>
      <c r="F39" s="345"/>
    </row>
    <row r="40" spans="1:8" ht="15.6" x14ac:dyDescent="0.3">
      <c r="A40" s="815">
        <f t="shared" si="0"/>
        <v>23</v>
      </c>
      <c r="B40" s="897" t="s">
        <v>272</v>
      </c>
      <c r="C40" s="856">
        <v>2</v>
      </c>
      <c r="D40" s="344">
        <v>24071.72</v>
      </c>
      <c r="E40" s="344"/>
      <c r="F40" s="345"/>
    </row>
    <row r="41" spans="1:8" ht="15.6" x14ac:dyDescent="0.3">
      <c r="A41" s="815">
        <f t="shared" si="0"/>
        <v>24</v>
      </c>
      <c r="B41" s="897" t="s">
        <v>34</v>
      </c>
      <c r="C41" s="856">
        <v>2</v>
      </c>
      <c r="D41" s="344">
        <v>749.18</v>
      </c>
      <c r="E41" s="344"/>
      <c r="F41" s="345"/>
    </row>
    <row r="42" spans="1:8" ht="15.6" x14ac:dyDescent="0.3">
      <c r="A42" s="815">
        <f t="shared" si="0"/>
        <v>25</v>
      </c>
      <c r="B42" s="897" t="s">
        <v>686</v>
      </c>
      <c r="C42" s="856">
        <v>2</v>
      </c>
      <c r="D42" s="344">
        <v>114</v>
      </c>
      <c r="E42" s="344"/>
      <c r="F42" s="345"/>
    </row>
    <row r="43" spans="1:8" ht="15.6" x14ac:dyDescent="0.3">
      <c r="A43" s="815">
        <f t="shared" si="0"/>
        <v>26</v>
      </c>
      <c r="B43" s="897" t="s">
        <v>279</v>
      </c>
      <c r="C43" s="856">
        <v>2</v>
      </c>
      <c r="D43" s="344">
        <v>3210.4</v>
      </c>
      <c r="E43" s="344"/>
      <c r="F43" s="345"/>
    </row>
    <row r="44" spans="1:8" ht="15.6" x14ac:dyDescent="0.3">
      <c r="A44" s="815">
        <f t="shared" si="0"/>
        <v>27</v>
      </c>
      <c r="B44" s="897" t="s">
        <v>581</v>
      </c>
      <c r="C44" s="856">
        <v>2</v>
      </c>
      <c r="D44" s="344">
        <v>808.3</v>
      </c>
      <c r="E44" s="344"/>
      <c r="F44" s="345"/>
    </row>
    <row r="45" spans="1:8" ht="15.6" x14ac:dyDescent="0.3">
      <c r="A45" s="815">
        <f t="shared" si="0"/>
        <v>28</v>
      </c>
      <c r="B45" s="897" t="s">
        <v>687</v>
      </c>
      <c r="C45" s="856">
        <v>2</v>
      </c>
      <c r="D45" s="344">
        <v>3150.15</v>
      </c>
      <c r="E45" s="344"/>
      <c r="F45" s="345"/>
    </row>
    <row r="46" spans="1:8" ht="15.6" x14ac:dyDescent="0.3">
      <c r="A46" s="815">
        <f t="shared" si="0"/>
        <v>29</v>
      </c>
      <c r="B46" s="897" t="s">
        <v>688</v>
      </c>
      <c r="C46" s="856">
        <v>2</v>
      </c>
      <c r="D46" s="344">
        <v>564.96</v>
      </c>
      <c r="E46" s="344"/>
      <c r="F46" s="345"/>
    </row>
    <row r="47" spans="1:8" ht="15.6" x14ac:dyDescent="0.3">
      <c r="A47" s="815">
        <f t="shared" si="0"/>
        <v>30</v>
      </c>
      <c r="B47" s="897" t="s">
        <v>22</v>
      </c>
      <c r="C47" s="856">
        <v>2</v>
      </c>
      <c r="D47" s="344">
        <v>1365.91</v>
      </c>
      <c r="E47" s="344"/>
      <c r="F47" s="345"/>
    </row>
    <row r="48" spans="1:8" ht="15.6" x14ac:dyDescent="0.3">
      <c r="A48" s="815">
        <f t="shared" si="0"/>
        <v>31</v>
      </c>
      <c r="B48" s="744" t="s">
        <v>540</v>
      </c>
      <c r="C48" s="857">
        <v>2</v>
      </c>
      <c r="D48" s="344">
        <v>1034.0999999999999</v>
      </c>
      <c r="E48" s="344"/>
      <c r="F48" s="345"/>
    </row>
    <row r="49" spans="1:8" ht="15.6" x14ac:dyDescent="0.3">
      <c r="A49" s="815">
        <f t="shared" si="0"/>
        <v>32</v>
      </c>
      <c r="B49" s="897" t="s">
        <v>689</v>
      </c>
      <c r="C49" s="856">
        <v>2</v>
      </c>
      <c r="D49" s="344">
        <v>1544.47</v>
      </c>
      <c r="E49" s="344"/>
      <c r="F49" s="345"/>
    </row>
    <row r="50" spans="1:8" ht="15.6" x14ac:dyDescent="0.3">
      <c r="A50" s="815">
        <f t="shared" si="0"/>
        <v>33</v>
      </c>
      <c r="B50" s="897" t="s">
        <v>566</v>
      </c>
      <c r="C50" s="856">
        <v>2</v>
      </c>
      <c r="D50" s="344">
        <v>15.4</v>
      </c>
      <c r="E50" s="344"/>
      <c r="F50" s="345"/>
    </row>
    <row r="51" spans="1:8" ht="15.6" x14ac:dyDescent="0.3">
      <c r="A51" s="815">
        <f t="shared" si="0"/>
        <v>34</v>
      </c>
      <c r="B51" s="897" t="s">
        <v>104</v>
      </c>
      <c r="C51" s="856">
        <v>2</v>
      </c>
      <c r="D51" s="344">
        <v>9704.14</v>
      </c>
      <c r="E51" s="344"/>
      <c r="F51" s="345"/>
    </row>
    <row r="52" spans="1:8" ht="15.6" x14ac:dyDescent="0.3">
      <c r="A52" s="815">
        <f t="shared" si="0"/>
        <v>35</v>
      </c>
      <c r="B52" s="897" t="s">
        <v>247</v>
      </c>
      <c r="C52" s="856">
        <v>2</v>
      </c>
      <c r="D52" s="827">
        <v>5186.29</v>
      </c>
      <c r="E52" s="344"/>
      <c r="F52" s="345"/>
    </row>
    <row r="53" spans="1:8" ht="15.6" x14ac:dyDescent="0.3">
      <c r="A53" s="815">
        <f t="shared" si="0"/>
        <v>36</v>
      </c>
      <c r="B53" s="897" t="s">
        <v>246</v>
      </c>
      <c r="C53" s="856">
        <v>2</v>
      </c>
      <c r="D53" s="344">
        <v>7186.28</v>
      </c>
      <c r="E53" s="344"/>
      <c r="F53" s="345"/>
    </row>
    <row r="54" spans="1:8" ht="15.6" x14ac:dyDescent="0.3">
      <c r="A54" s="815">
        <f t="shared" si="0"/>
        <v>37</v>
      </c>
      <c r="B54" s="753" t="s">
        <v>23</v>
      </c>
      <c r="C54" s="752">
        <v>2</v>
      </c>
      <c r="D54" s="344">
        <v>6953.89</v>
      </c>
      <c r="E54" s="344"/>
      <c r="F54" s="345"/>
    </row>
    <row r="55" spans="1:8" ht="15.6" x14ac:dyDescent="0.3">
      <c r="A55" s="815">
        <f t="shared" si="0"/>
        <v>38</v>
      </c>
      <c r="B55" s="897" t="s">
        <v>24</v>
      </c>
      <c r="C55" s="856">
        <v>2</v>
      </c>
      <c r="D55" s="344">
        <v>100</v>
      </c>
      <c r="E55" s="344"/>
      <c r="F55" s="345"/>
    </row>
    <row r="56" spans="1:8" ht="15.6" x14ac:dyDescent="0.3">
      <c r="A56" s="815">
        <f t="shared" si="0"/>
        <v>39</v>
      </c>
      <c r="B56" s="897" t="s">
        <v>105</v>
      </c>
      <c r="C56" s="856">
        <v>2</v>
      </c>
      <c r="D56" s="344">
        <v>3648.3</v>
      </c>
      <c r="E56" s="344"/>
      <c r="F56" s="345"/>
    </row>
    <row r="57" spans="1:8" ht="15.6" x14ac:dyDescent="0.3">
      <c r="A57" s="815">
        <f t="shared" si="0"/>
        <v>40</v>
      </c>
      <c r="B57" s="777" t="s">
        <v>690</v>
      </c>
      <c r="C57" s="816">
        <v>2</v>
      </c>
      <c r="D57" s="344">
        <v>1458.55</v>
      </c>
      <c r="E57" s="344"/>
      <c r="F57" s="345"/>
    </row>
    <row r="58" spans="1:8" ht="31.2" x14ac:dyDescent="0.3">
      <c r="A58" s="815">
        <f t="shared" si="0"/>
        <v>41</v>
      </c>
      <c r="B58" s="777" t="s">
        <v>691</v>
      </c>
      <c r="C58" s="816">
        <v>6</v>
      </c>
      <c r="D58" s="344"/>
      <c r="E58" s="344">
        <v>234104.11</v>
      </c>
      <c r="F58" s="345"/>
    </row>
    <row r="59" spans="1:8" ht="15.6" x14ac:dyDescent="0.3">
      <c r="A59" s="815">
        <v>42</v>
      </c>
      <c r="B59" s="777" t="s">
        <v>692</v>
      </c>
      <c r="C59" s="816"/>
      <c r="D59" s="344"/>
      <c r="E59" s="344"/>
      <c r="F59" s="345">
        <v>384224.31</v>
      </c>
    </row>
    <row r="60" spans="1:8" ht="31.2" x14ac:dyDescent="0.3">
      <c r="A60" s="786">
        <v>43</v>
      </c>
      <c r="B60" s="861" t="s">
        <v>693</v>
      </c>
      <c r="C60" s="960">
        <v>1</v>
      </c>
      <c r="D60" s="344"/>
      <c r="E60" s="344"/>
      <c r="F60" s="345">
        <v>301824.31</v>
      </c>
      <c r="H60" s="343"/>
    </row>
    <row r="61" spans="1:8" ht="15.6" x14ac:dyDescent="0.3">
      <c r="A61" s="786">
        <v>44</v>
      </c>
      <c r="B61" s="812" t="s">
        <v>694</v>
      </c>
      <c r="C61" s="346">
        <v>1</v>
      </c>
      <c r="D61" s="344"/>
      <c r="E61" s="347"/>
      <c r="F61" s="348">
        <v>82400</v>
      </c>
    </row>
    <row r="62" spans="1:8" ht="15.6" x14ac:dyDescent="0.3">
      <c r="A62" s="815">
        <v>45</v>
      </c>
      <c r="B62" s="793" t="s">
        <v>695</v>
      </c>
      <c r="C62" s="349"/>
      <c r="D62" s="344"/>
      <c r="E62" s="347"/>
      <c r="F62" s="348">
        <v>36500</v>
      </c>
    </row>
    <row r="63" spans="1:8" ht="46.8" x14ac:dyDescent="0.3">
      <c r="A63" s="786">
        <v>46</v>
      </c>
      <c r="B63" s="793" t="s">
        <v>696</v>
      </c>
      <c r="C63" s="349">
        <v>4</v>
      </c>
      <c r="D63" s="344"/>
      <c r="E63" s="347"/>
      <c r="F63" s="348">
        <v>36500</v>
      </c>
    </row>
    <row r="64" spans="1:8" ht="15.6" x14ac:dyDescent="0.3">
      <c r="A64" s="815">
        <v>47</v>
      </c>
      <c r="B64" s="793" t="s">
        <v>697</v>
      </c>
      <c r="C64" s="349"/>
      <c r="D64" s="344"/>
      <c r="E64" s="347"/>
      <c r="F64" s="795">
        <f>F65</f>
        <v>6356.9</v>
      </c>
    </row>
    <row r="65" spans="1:8" ht="46.8" x14ac:dyDescent="0.3">
      <c r="A65" s="815">
        <v>48</v>
      </c>
      <c r="B65" s="817" t="s">
        <v>698</v>
      </c>
      <c r="C65" s="864">
        <v>2</v>
      </c>
      <c r="D65" s="344"/>
      <c r="E65" s="347"/>
      <c r="F65" s="795">
        <v>6356.9</v>
      </c>
    </row>
    <row r="66" spans="1:8" ht="31.2" x14ac:dyDescent="0.3">
      <c r="A66" s="815">
        <v>49</v>
      </c>
      <c r="B66" s="763" t="s">
        <v>699</v>
      </c>
      <c r="C66" s="749"/>
      <c r="D66" s="344"/>
      <c r="E66" s="344"/>
      <c r="F66" s="345">
        <f>F67+F68</f>
        <v>1257143.1000000001</v>
      </c>
    </row>
    <row r="67" spans="1:8" ht="46.8" x14ac:dyDescent="0.3">
      <c r="A67" s="815">
        <v>50</v>
      </c>
      <c r="B67" s="817" t="s">
        <v>698</v>
      </c>
      <c r="C67" s="864">
        <v>5</v>
      </c>
      <c r="D67" s="776"/>
      <c r="E67" s="776"/>
      <c r="F67" s="791">
        <v>757143.1</v>
      </c>
      <c r="H67" s="343"/>
    </row>
    <row r="68" spans="1:8" ht="16.2" thickBot="1" x14ac:dyDescent="0.35">
      <c r="A68" s="805">
        <v>51</v>
      </c>
      <c r="B68" s="903" t="s">
        <v>700</v>
      </c>
      <c r="C68" s="911">
        <v>5</v>
      </c>
      <c r="D68" s="797"/>
      <c r="E68" s="797"/>
      <c r="F68" s="884">
        <v>500000</v>
      </c>
      <c r="G68" s="341"/>
    </row>
    <row r="69" spans="1:8" ht="16.8" thickBot="1" x14ac:dyDescent="0.4">
      <c r="A69" s="908">
        <f t="shared" si="0"/>
        <v>52</v>
      </c>
      <c r="B69" s="779" t="s">
        <v>701</v>
      </c>
      <c r="C69" s="801"/>
      <c r="D69" s="750">
        <v>495648.54</v>
      </c>
      <c r="E69" s="750">
        <v>234104.11</v>
      </c>
      <c r="F69" s="826">
        <f>F59+F62+F66+F64</f>
        <v>1684224.31</v>
      </c>
      <c r="H69" s="343"/>
    </row>
    <row r="70" spans="1:8" ht="16.2" thickBot="1" x14ac:dyDescent="0.35">
      <c r="A70" s="873"/>
      <c r="B70" s="1"/>
      <c r="C70" s="1"/>
      <c r="D70" s="804"/>
      <c r="E70" s="804"/>
      <c r="F70" s="180"/>
      <c r="G70" s="341"/>
      <c r="H70" s="341"/>
    </row>
    <row r="71" spans="1:8" ht="15.6" x14ac:dyDescent="0.3">
      <c r="A71" s="831"/>
      <c r="B71" s="1094" t="s">
        <v>702</v>
      </c>
      <c r="C71" s="1094"/>
      <c r="D71" s="1095"/>
      <c r="E71" s="1095"/>
      <c r="F71" s="1096"/>
    </row>
    <row r="72" spans="1:8" ht="31.2" x14ac:dyDescent="0.3">
      <c r="A72" s="871" t="s">
        <v>0</v>
      </c>
      <c r="B72" s="410" t="s">
        <v>703</v>
      </c>
      <c r="C72" s="407" t="s">
        <v>704</v>
      </c>
      <c r="D72" s="1097" t="s">
        <v>43</v>
      </c>
      <c r="E72" s="1098"/>
      <c r="F72" s="1099"/>
      <c r="G72" s="351"/>
    </row>
    <row r="73" spans="1:8" ht="16.2" thickBot="1" x14ac:dyDescent="0.35">
      <c r="A73" s="842" t="s">
        <v>706</v>
      </c>
      <c r="B73" s="912" t="s">
        <v>381</v>
      </c>
      <c r="C73" s="906">
        <v>5</v>
      </c>
      <c r="D73" s="1079">
        <f>1067700-402022.6</f>
        <v>665677.4</v>
      </c>
      <c r="E73" s="1080"/>
      <c r="F73" s="1081"/>
      <c r="G73" s="351"/>
    </row>
  </sheetData>
  <mergeCells count="8">
    <mergeCell ref="D73:F73"/>
    <mergeCell ref="D15:D17"/>
    <mergeCell ref="E15:E17"/>
    <mergeCell ref="A15:A17"/>
    <mergeCell ref="B15:B17"/>
    <mergeCell ref="F15:F17"/>
    <mergeCell ref="B71:F71"/>
    <mergeCell ref="D72:F72"/>
  </mergeCells>
  <pageMargins left="0.70866141732283472" right="0.70866141732283472" top="0.74803149606299213" bottom="0.74803149606299213"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68931-C1F0-4FEF-9E98-1E3A36DF7121}">
  <sheetPr>
    <pageSetUpPr fitToPage="1"/>
  </sheetPr>
  <dimension ref="A5:Q69"/>
  <sheetViews>
    <sheetView topLeftCell="A14" workbookViewId="0">
      <selection activeCell="S22" sqref="S22"/>
    </sheetView>
  </sheetViews>
  <sheetFormatPr defaultRowHeight="13.2" x14ac:dyDescent="0.25"/>
  <cols>
    <col min="1" max="1" width="6.109375" bestFit="1" customWidth="1"/>
    <col min="2" max="2" width="8.6640625" customWidth="1"/>
    <col min="3" max="3" width="20.88671875" customWidth="1"/>
    <col min="4" max="4" width="23.5546875" customWidth="1"/>
    <col min="5" max="5" width="18.5546875" customWidth="1"/>
    <col min="6" max="6" width="12.5546875" customWidth="1"/>
    <col min="7" max="7" width="11.5546875" customWidth="1"/>
    <col min="8" max="8" width="10.6640625" bestFit="1" customWidth="1"/>
    <col min="9" max="9" width="9.5546875" bestFit="1" customWidth="1"/>
    <col min="10" max="13" width="10.6640625" bestFit="1" customWidth="1"/>
    <col min="14" max="16" width="9.5546875" bestFit="1" customWidth="1"/>
    <col min="17" max="17" width="24.6640625" customWidth="1"/>
  </cols>
  <sheetData>
    <row r="5" spans="1:17" x14ac:dyDescent="0.25">
      <c r="A5" s="373"/>
      <c r="B5" s="373"/>
      <c r="C5" s="373"/>
      <c r="D5" s="373"/>
      <c r="E5" s="373"/>
      <c r="F5" s="373"/>
      <c r="G5" s="373"/>
      <c r="H5" s="373"/>
      <c r="I5" s="373"/>
      <c r="J5" s="373"/>
      <c r="K5" s="373"/>
      <c r="L5" s="373"/>
      <c r="M5" s="373"/>
      <c r="N5" s="373"/>
      <c r="O5" s="373"/>
      <c r="P5" s="373"/>
      <c r="Q5" s="373"/>
    </row>
    <row r="6" spans="1:17" ht="13.8" x14ac:dyDescent="0.25">
      <c r="A6" s="374"/>
      <c r="B6" s="374"/>
      <c r="C6" s="374"/>
      <c r="D6" s="374"/>
      <c r="E6" s="374"/>
      <c r="F6" s="374"/>
      <c r="G6" s="374"/>
      <c r="H6" s="374"/>
      <c r="I6" s="374"/>
      <c r="J6" s="374"/>
      <c r="K6" s="374"/>
      <c r="L6" s="375" t="s">
        <v>711</v>
      </c>
      <c r="M6" s="375"/>
      <c r="N6" s="375"/>
      <c r="O6" s="374"/>
      <c r="P6" s="374"/>
      <c r="Q6" s="374"/>
    </row>
    <row r="7" spans="1:17" ht="13.8" x14ac:dyDescent="0.25">
      <c r="A7" s="374"/>
      <c r="B7" s="374"/>
      <c r="C7" s="374"/>
      <c r="D7" s="374"/>
      <c r="E7" s="374"/>
      <c r="F7" s="374"/>
      <c r="G7" s="374"/>
      <c r="H7" s="374"/>
      <c r="I7" s="374"/>
      <c r="J7" s="374"/>
      <c r="K7" s="374"/>
      <c r="L7" s="375" t="s">
        <v>759</v>
      </c>
      <c r="M7" s="375"/>
      <c r="N7" s="375"/>
      <c r="O7" s="374"/>
      <c r="P7" s="374"/>
      <c r="Q7" s="374"/>
    </row>
    <row r="8" spans="1:17" ht="13.8" x14ac:dyDescent="0.25">
      <c r="A8" s="374"/>
      <c r="B8" s="374"/>
      <c r="C8" s="374"/>
      <c r="D8" s="376"/>
      <c r="E8" s="374"/>
      <c r="F8" s="374"/>
      <c r="G8" s="374"/>
      <c r="H8" s="374"/>
      <c r="I8" s="374"/>
      <c r="J8" s="374"/>
      <c r="K8" s="374"/>
      <c r="L8" s="375" t="s">
        <v>712</v>
      </c>
      <c r="M8" s="375"/>
      <c r="N8" s="375"/>
      <c r="O8" s="374"/>
      <c r="P8" s="374"/>
      <c r="Q8" s="374"/>
    </row>
    <row r="9" spans="1:17" ht="13.8" x14ac:dyDescent="0.25">
      <c r="A9" s="374"/>
      <c r="B9" s="374"/>
      <c r="C9" s="374"/>
      <c r="D9" s="374"/>
      <c r="E9" s="374"/>
      <c r="F9" s="374"/>
      <c r="G9" s="374"/>
      <c r="H9" s="374"/>
      <c r="I9" s="374"/>
      <c r="J9" s="374"/>
      <c r="K9" s="374"/>
      <c r="L9" s="375" t="s">
        <v>483</v>
      </c>
      <c r="M9" s="375"/>
      <c r="N9" s="375"/>
      <c r="O9" s="374"/>
      <c r="P9" s="374"/>
      <c r="Q9" s="374"/>
    </row>
    <row r="10" spans="1:17" ht="13.8" x14ac:dyDescent="0.25">
      <c r="A10" s="374"/>
      <c r="B10" s="374"/>
      <c r="C10" s="374"/>
      <c r="D10" s="374"/>
      <c r="E10" s="374"/>
      <c r="F10" s="374"/>
      <c r="G10" s="374"/>
      <c r="H10" s="374"/>
      <c r="I10" s="374"/>
      <c r="J10" s="374"/>
      <c r="K10" s="374"/>
      <c r="L10" s="375" t="s">
        <v>846</v>
      </c>
      <c r="M10" s="377"/>
      <c r="N10" s="375"/>
      <c r="O10" s="374"/>
      <c r="P10" s="374"/>
      <c r="Q10" s="374"/>
    </row>
    <row r="11" spans="1:17" ht="13.8" x14ac:dyDescent="0.25">
      <c r="A11" s="374"/>
      <c r="B11" s="374"/>
      <c r="C11" s="374"/>
      <c r="D11" s="374"/>
      <c r="E11" s="374"/>
      <c r="F11" s="374"/>
      <c r="G11" s="374"/>
      <c r="H11" s="374"/>
      <c r="I11" s="374"/>
      <c r="J11" s="374"/>
      <c r="K11" s="374"/>
      <c r="L11" s="375" t="s">
        <v>484</v>
      </c>
      <c r="M11" s="375"/>
      <c r="N11" s="375"/>
      <c r="O11" s="374"/>
      <c r="P11" s="374"/>
      <c r="Q11" s="374"/>
    </row>
    <row r="12" spans="1:17" ht="13.8" x14ac:dyDescent="0.25">
      <c r="A12" s="1103" t="s">
        <v>764</v>
      </c>
      <c r="B12" s="1104"/>
      <c r="C12" s="1104"/>
      <c r="D12" s="1104"/>
      <c r="E12" s="1104"/>
      <c r="F12" s="1104"/>
      <c r="G12" s="1105"/>
      <c r="H12" s="1105"/>
      <c r="I12" s="1105"/>
      <c r="J12" s="1105"/>
      <c r="K12" s="1105"/>
      <c r="L12" s="1105"/>
      <c r="M12" s="1105"/>
      <c r="N12" s="374"/>
      <c r="O12" s="374"/>
      <c r="P12" s="374"/>
      <c r="Q12" s="374"/>
    </row>
    <row r="13" spans="1:17" ht="13.8" x14ac:dyDescent="0.25">
      <c r="A13" s="1103"/>
      <c r="B13" s="1104"/>
      <c r="C13" s="1104"/>
      <c r="D13" s="1104"/>
      <c r="E13" s="1104"/>
      <c r="F13" s="1104"/>
      <c r="G13" s="1105"/>
      <c r="H13" s="1105"/>
      <c r="I13" s="1105"/>
      <c r="J13" s="1105"/>
      <c r="K13" s="1105"/>
      <c r="L13" s="1105"/>
      <c r="M13" s="1105"/>
      <c r="N13" s="374"/>
      <c r="O13" s="374"/>
      <c r="P13" s="374"/>
      <c r="Q13" s="374"/>
    </row>
    <row r="14" spans="1:17" ht="13.8" x14ac:dyDescent="0.25">
      <c r="A14" s="1103"/>
      <c r="B14" s="1104"/>
      <c r="C14" s="1104"/>
      <c r="D14" s="1104"/>
      <c r="E14" s="1104"/>
      <c r="F14" s="1104"/>
      <c r="G14" s="1105"/>
      <c r="H14" s="1105"/>
      <c r="I14" s="1105"/>
      <c r="J14" s="1105"/>
      <c r="K14" s="1105"/>
      <c r="L14" s="1105"/>
      <c r="M14" s="1105"/>
      <c r="N14" s="374"/>
      <c r="O14" s="374"/>
      <c r="P14" s="374"/>
      <c r="Q14" s="374"/>
    </row>
    <row r="15" spans="1:17" ht="13.8" x14ac:dyDescent="0.25">
      <c r="A15" s="1103"/>
      <c r="B15" s="1104"/>
      <c r="C15" s="1104"/>
      <c r="D15" s="1104"/>
      <c r="E15" s="1104"/>
      <c r="F15" s="1104"/>
      <c r="G15" s="1105"/>
      <c r="H15" s="1105"/>
      <c r="I15" s="1105"/>
      <c r="J15" s="1105"/>
      <c r="K15" s="1105"/>
      <c r="L15" s="1105"/>
      <c r="M15" s="1105"/>
      <c r="N15" s="374"/>
      <c r="O15" s="374"/>
      <c r="P15" s="374"/>
      <c r="Q15" s="374"/>
    </row>
    <row r="16" spans="1:17" ht="13.8" x14ac:dyDescent="0.25">
      <c r="A16" s="1104"/>
      <c r="B16" s="1104"/>
      <c r="C16" s="1104"/>
      <c r="D16" s="1104"/>
      <c r="E16" s="1104"/>
      <c r="F16" s="1104"/>
      <c r="G16" s="1105"/>
      <c r="H16" s="1105"/>
      <c r="I16" s="1105"/>
      <c r="J16" s="1105"/>
      <c r="K16" s="1105"/>
      <c r="L16" s="1105"/>
      <c r="M16" s="1105"/>
      <c r="N16" s="378"/>
      <c r="O16" s="378"/>
      <c r="P16" s="378"/>
      <c r="Q16" s="378"/>
    </row>
    <row r="17" spans="1:17" ht="13.8" x14ac:dyDescent="0.25">
      <c r="A17" s="374"/>
      <c r="B17" s="374"/>
      <c r="C17" s="374"/>
      <c r="D17" s="379" t="s">
        <v>763</v>
      </c>
      <c r="E17" s="379"/>
      <c r="F17" s="379"/>
      <c r="G17" s="374"/>
      <c r="H17" s="374"/>
      <c r="I17" s="374"/>
      <c r="J17" s="374"/>
      <c r="K17" s="374"/>
      <c r="L17" s="374"/>
      <c r="M17" s="374"/>
      <c r="N17" s="374"/>
      <c r="O17" s="374"/>
      <c r="P17" s="374"/>
      <c r="Q17" s="374"/>
    </row>
    <row r="18" spans="1:17" x14ac:dyDescent="0.25">
      <c r="A18" s="373"/>
      <c r="B18" s="373"/>
      <c r="C18" s="373"/>
      <c r="D18" s="373"/>
      <c r="E18" s="373"/>
      <c r="F18" s="373"/>
      <c r="G18" s="373"/>
      <c r="H18" s="373"/>
      <c r="I18" s="373"/>
      <c r="J18" s="373"/>
      <c r="K18" s="373"/>
      <c r="L18" s="373"/>
      <c r="M18" s="373"/>
      <c r="N18" s="373" t="s">
        <v>804</v>
      </c>
      <c r="O18" s="373"/>
      <c r="P18" s="373"/>
      <c r="Q18" s="373"/>
    </row>
    <row r="19" spans="1:17" x14ac:dyDescent="0.25">
      <c r="A19" s="1106" t="s">
        <v>743</v>
      </c>
      <c r="B19" s="1106" t="s">
        <v>779</v>
      </c>
      <c r="C19" s="1107" t="s">
        <v>772</v>
      </c>
      <c r="D19" s="1106" t="s">
        <v>713</v>
      </c>
      <c r="E19" s="1106" t="s">
        <v>780</v>
      </c>
      <c r="F19" s="1106" t="s">
        <v>744</v>
      </c>
      <c r="G19" s="807" t="s">
        <v>400</v>
      </c>
      <c r="H19" s="766"/>
      <c r="I19" s="766"/>
      <c r="J19" s="766"/>
      <c r="K19" s="1110" t="s">
        <v>781</v>
      </c>
      <c r="L19" s="1111"/>
      <c r="M19" s="1111"/>
      <c r="N19" s="1111"/>
      <c r="O19" s="1111"/>
      <c r="P19" s="1112"/>
      <c r="Q19" s="1100" t="s">
        <v>768</v>
      </c>
    </row>
    <row r="20" spans="1:17" x14ac:dyDescent="0.25">
      <c r="A20" s="1106"/>
      <c r="B20" s="1106"/>
      <c r="C20" s="1108"/>
      <c r="D20" s="1106"/>
      <c r="E20" s="1106"/>
      <c r="F20" s="1106"/>
      <c r="G20" s="1106" t="s">
        <v>714</v>
      </c>
      <c r="H20" s="1116" t="s">
        <v>715</v>
      </c>
      <c r="I20" s="1106" t="s">
        <v>716</v>
      </c>
      <c r="J20" s="1116" t="s">
        <v>717</v>
      </c>
      <c r="K20" s="1113"/>
      <c r="L20" s="1114"/>
      <c r="M20" s="1114"/>
      <c r="N20" s="1114"/>
      <c r="O20" s="1114"/>
      <c r="P20" s="1115"/>
      <c r="Q20" s="1101"/>
    </row>
    <row r="21" spans="1:17" ht="118.8" x14ac:dyDescent="0.25">
      <c r="A21" s="1106"/>
      <c r="B21" s="1106"/>
      <c r="C21" s="1109"/>
      <c r="D21" s="1106"/>
      <c r="E21" s="1106"/>
      <c r="F21" s="1106"/>
      <c r="G21" s="1106"/>
      <c r="H21" s="1116"/>
      <c r="I21" s="1106"/>
      <c r="J21" s="1116"/>
      <c r="K21" s="766" t="s">
        <v>399</v>
      </c>
      <c r="L21" s="807" t="s">
        <v>714</v>
      </c>
      <c r="M21" s="807" t="s">
        <v>718</v>
      </c>
      <c r="N21" s="807" t="s">
        <v>716</v>
      </c>
      <c r="O21" s="807" t="s">
        <v>771</v>
      </c>
      <c r="P21" s="807" t="s">
        <v>719</v>
      </c>
      <c r="Q21" s="1102"/>
    </row>
    <row r="22" spans="1:17" ht="169.5" customHeight="1" x14ac:dyDescent="0.25">
      <c r="A22" s="762">
        <v>1</v>
      </c>
      <c r="B22" s="762">
        <v>5</v>
      </c>
      <c r="C22" s="898" t="s">
        <v>745</v>
      </c>
      <c r="D22" s="898" t="s">
        <v>720</v>
      </c>
      <c r="E22" s="898" t="s">
        <v>721</v>
      </c>
      <c r="F22" s="810">
        <v>9350.3027700000002</v>
      </c>
      <c r="G22" s="787"/>
      <c r="H22" s="810">
        <v>4817</v>
      </c>
      <c r="I22" s="810"/>
      <c r="J22" s="810">
        <v>4533.3027700000002</v>
      </c>
      <c r="K22" s="810">
        <v>2717.9518600000001</v>
      </c>
      <c r="L22" s="810"/>
      <c r="M22" s="810">
        <v>2253</v>
      </c>
      <c r="N22" s="810"/>
      <c r="O22" s="810">
        <v>464.95186000000001</v>
      </c>
      <c r="P22" s="810"/>
      <c r="Q22" s="843" t="s">
        <v>805</v>
      </c>
    </row>
    <row r="23" spans="1:17" ht="65.25" customHeight="1" x14ac:dyDescent="0.25">
      <c r="A23" s="762">
        <v>2</v>
      </c>
      <c r="B23" s="898">
        <v>5</v>
      </c>
      <c r="C23" s="898" t="s">
        <v>746</v>
      </c>
      <c r="D23" s="898" t="s">
        <v>747</v>
      </c>
      <c r="E23" s="898" t="s">
        <v>725</v>
      </c>
      <c r="F23" s="810">
        <v>1144.3409099999999</v>
      </c>
      <c r="G23" s="787"/>
      <c r="H23" s="787">
        <v>822.18998999999997</v>
      </c>
      <c r="I23" s="787"/>
      <c r="J23" s="787">
        <v>322.15091999999999</v>
      </c>
      <c r="K23" s="810">
        <v>889.68867</v>
      </c>
      <c r="L23" s="787"/>
      <c r="M23" s="810">
        <v>722</v>
      </c>
      <c r="N23" s="810"/>
      <c r="O23" s="787"/>
      <c r="P23" s="787">
        <v>167.68867</v>
      </c>
      <c r="Q23" s="846" t="s">
        <v>793</v>
      </c>
    </row>
    <row r="24" spans="1:17" ht="75" customHeight="1" x14ac:dyDescent="0.25">
      <c r="A24" s="762">
        <v>3</v>
      </c>
      <c r="B24" s="762">
        <v>4</v>
      </c>
      <c r="C24" s="762" t="s">
        <v>746</v>
      </c>
      <c r="D24" s="898" t="s">
        <v>722</v>
      </c>
      <c r="E24" s="898" t="s">
        <v>721</v>
      </c>
      <c r="F24" s="810">
        <v>239.16203999999999</v>
      </c>
      <c r="G24" s="882" t="s">
        <v>792</v>
      </c>
      <c r="H24" s="789"/>
      <c r="I24" s="789"/>
      <c r="J24" s="789">
        <v>35.874310000000001</v>
      </c>
      <c r="K24" s="810">
        <v>22.112550000000002</v>
      </c>
      <c r="L24" s="774">
        <v>18.49465</v>
      </c>
      <c r="M24" s="748">
        <v>0</v>
      </c>
      <c r="N24" s="748"/>
      <c r="O24" s="774">
        <v>3.2637700000000001</v>
      </c>
      <c r="P24" s="774">
        <v>0.35413</v>
      </c>
      <c r="Q24" s="846" t="s">
        <v>806</v>
      </c>
    </row>
    <row r="25" spans="1:17" ht="98.25" customHeight="1" x14ac:dyDescent="0.25">
      <c r="A25" s="762">
        <v>4</v>
      </c>
      <c r="B25" s="762">
        <v>6</v>
      </c>
      <c r="C25" s="762" t="s">
        <v>746</v>
      </c>
      <c r="D25" s="898" t="s">
        <v>724</v>
      </c>
      <c r="E25" s="898" t="s">
        <v>725</v>
      </c>
      <c r="F25" s="810">
        <v>240.23563999999999</v>
      </c>
      <c r="G25" s="787">
        <v>155.04342</v>
      </c>
      <c r="H25" s="810">
        <v>27.360610000000001</v>
      </c>
      <c r="I25" s="810"/>
      <c r="J25" s="787">
        <v>57.831609999999998</v>
      </c>
      <c r="K25" s="810">
        <v>225.89725000000001</v>
      </c>
      <c r="L25" s="765">
        <v>145.41560000000001</v>
      </c>
      <c r="M25" s="765">
        <v>25.6616</v>
      </c>
      <c r="N25" s="765"/>
      <c r="O25" s="765">
        <v>45.760680000000001</v>
      </c>
      <c r="P25" s="787">
        <v>9.0593699999999995</v>
      </c>
      <c r="Q25" s="846" t="s">
        <v>794</v>
      </c>
    </row>
    <row r="26" spans="1:17" ht="93" customHeight="1" x14ac:dyDescent="0.25">
      <c r="A26" s="762">
        <v>5</v>
      </c>
      <c r="B26" s="762">
        <v>6</v>
      </c>
      <c r="C26" s="762" t="s">
        <v>746</v>
      </c>
      <c r="D26" s="898" t="s">
        <v>726</v>
      </c>
      <c r="E26" s="898" t="s">
        <v>725</v>
      </c>
      <c r="F26" s="810">
        <v>261.67399</v>
      </c>
      <c r="G26" s="787">
        <v>174.69104999999999</v>
      </c>
      <c r="H26" s="810">
        <v>30.827839999999998</v>
      </c>
      <c r="I26" s="810"/>
      <c r="J26" s="787">
        <v>56.155099999999997</v>
      </c>
      <c r="K26" s="810">
        <v>221.15135999999998</v>
      </c>
      <c r="L26" s="874">
        <v>165.07834</v>
      </c>
      <c r="M26" s="765">
        <v>29.131499999999999</v>
      </c>
      <c r="N26" s="765"/>
      <c r="O26" s="874">
        <v>25.885809999999999</v>
      </c>
      <c r="P26" s="787">
        <v>1.0557099999999999</v>
      </c>
      <c r="Q26" s="846" t="s">
        <v>795</v>
      </c>
    </row>
    <row r="27" spans="1:17" ht="178.5" customHeight="1" x14ac:dyDescent="0.25">
      <c r="A27" s="762">
        <v>6</v>
      </c>
      <c r="B27" s="762">
        <v>6</v>
      </c>
      <c r="C27" s="762" t="s">
        <v>746</v>
      </c>
      <c r="D27" s="898" t="s">
        <v>748</v>
      </c>
      <c r="E27" s="898" t="s">
        <v>749</v>
      </c>
      <c r="F27" s="810">
        <v>226.37725999999998</v>
      </c>
      <c r="G27" s="889">
        <v>152.01232999999999</v>
      </c>
      <c r="H27" s="889">
        <v>26.825710000000001</v>
      </c>
      <c r="I27" s="867"/>
      <c r="J27" s="889">
        <v>47.53922</v>
      </c>
      <c r="K27" s="810">
        <v>105.17522999999998</v>
      </c>
      <c r="L27" s="907">
        <v>81.483729999999994</v>
      </c>
      <c r="M27" s="910">
        <v>14.3795</v>
      </c>
      <c r="N27" s="910"/>
      <c r="O27" s="907">
        <v>9.3119999999999994</v>
      </c>
      <c r="P27" s="787"/>
      <c r="Q27" s="846" t="s">
        <v>796</v>
      </c>
    </row>
    <row r="28" spans="1:17" ht="204" customHeight="1" x14ac:dyDescent="0.25">
      <c r="A28" s="818">
        <v>7</v>
      </c>
      <c r="B28" s="818">
        <v>6</v>
      </c>
      <c r="C28" s="818" t="s">
        <v>746</v>
      </c>
      <c r="D28" s="743" t="s">
        <v>750</v>
      </c>
      <c r="E28" s="743" t="s">
        <v>749</v>
      </c>
      <c r="F28" s="810">
        <v>237.72261</v>
      </c>
      <c r="G28" s="914">
        <v>159.63073</v>
      </c>
      <c r="H28" s="914">
        <v>28.17013</v>
      </c>
      <c r="I28" s="833"/>
      <c r="J28" s="796">
        <v>49.921750000000003</v>
      </c>
      <c r="K28" s="810">
        <v>16.60445</v>
      </c>
      <c r="L28" s="907">
        <v>11.14988</v>
      </c>
      <c r="M28" s="910">
        <v>1.9676400000000001</v>
      </c>
      <c r="N28" s="910"/>
      <c r="O28" s="907">
        <v>3.4869300000000001</v>
      </c>
      <c r="P28" s="787"/>
      <c r="Q28" s="909" t="s">
        <v>822</v>
      </c>
    </row>
    <row r="29" spans="1:17" ht="165" customHeight="1" x14ac:dyDescent="0.25">
      <c r="A29" s="818">
        <v>8</v>
      </c>
      <c r="B29" s="818">
        <v>5</v>
      </c>
      <c r="C29" s="794" t="s">
        <v>746</v>
      </c>
      <c r="D29" s="835" t="s">
        <v>751</v>
      </c>
      <c r="E29" s="743" t="s">
        <v>749</v>
      </c>
      <c r="F29" s="810">
        <v>1657.3076199999998</v>
      </c>
      <c r="G29" s="765">
        <v>944.90112999999997</v>
      </c>
      <c r="H29" s="765">
        <v>0</v>
      </c>
      <c r="I29" s="765">
        <v>376.63891000000001</v>
      </c>
      <c r="J29" s="809">
        <v>335.76758000000001</v>
      </c>
      <c r="K29" s="810">
        <v>1537.4482799999998</v>
      </c>
      <c r="L29" s="738">
        <v>944.90112999999997</v>
      </c>
      <c r="M29" s="738"/>
      <c r="N29" s="738">
        <v>376.63891000000001</v>
      </c>
      <c r="O29" s="874">
        <v>0</v>
      </c>
      <c r="P29" s="809">
        <v>215.90824000000001</v>
      </c>
      <c r="Q29" s="846" t="s">
        <v>823</v>
      </c>
    </row>
    <row r="30" spans="1:17" ht="57.75" customHeight="1" x14ac:dyDescent="0.25">
      <c r="A30" s="762">
        <v>9</v>
      </c>
      <c r="B30" s="762">
        <v>5</v>
      </c>
      <c r="C30" s="832" t="s">
        <v>746</v>
      </c>
      <c r="D30" s="898" t="s">
        <v>727</v>
      </c>
      <c r="E30" s="898" t="s">
        <v>725</v>
      </c>
      <c r="F30" s="810">
        <v>875.21031000000005</v>
      </c>
      <c r="G30" s="787"/>
      <c r="H30" s="810">
        <v>145.00851</v>
      </c>
      <c r="I30" s="810"/>
      <c r="J30" s="787">
        <v>730.20180000000005</v>
      </c>
      <c r="K30" s="810">
        <v>297.28467000000001</v>
      </c>
      <c r="L30" s="774"/>
      <c r="M30" s="748"/>
      <c r="N30" s="748"/>
      <c r="O30" s="774">
        <v>297.28467000000001</v>
      </c>
      <c r="P30" s="774"/>
      <c r="Q30" s="851" t="s">
        <v>797</v>
      </c>
    </row>
    <row r="31" spans="1:17" ht="151.5" customHeight="1" x14ac:dyDescent="0.25">
      <c r="A31" s="762">
        <v>10</v>
      </c>
      <c r="B31" s="762">
        <v>5</v>
      </c>
      <c r="C31" s="762" t="s">
        <v>746</v>
      </c>
      <c r="D31" s="898" t="s">
        <v>728</v>
      </c>
      <c r="E31" s="898" t="s">
        <v>725</v>
      </c>
      <c r="F31" s="810">
        <v>66.012</v>
      </c>
      <c r="G31" s="810">
        <v>59.293869999999998</v>
      </c>
      <c r="H31" s="848"/>
      <c r="I31" s="810"/>
      <c r="J31" s="810">
        <v>6.7181300000000004</v>
      </c>
      <c r="K31" s="810">
        <v>59.293869999999998</v>
      </c>
      <c r="L31" s="748">
        <v>59.293869999999998</v>
      </c>
      <c r="M31" s="748"/>
      <c r="N31" s="748"/>
      <c r="O31" s="774">
        <v>0</v>
      </c>
      <c r="P31" s="774">
        <v>0</v>
      </c>
      <c r="Q31" s="846" t="s">
        <v>807</v>
      </c>
    </row>
    <row r="32" spans="1:17" ht="83.25" customHeight="1" x14ac:dyDescent="0.25">
      <c r="A32" s="762">
        <v>11</v>
      </c>
      <c r="B32" s="762">
        <v>5</v>
      </c>
      <c r="C32" s="762" t="s">
        <v>746</v>
      </c>
      <c r="D32" s="898" t="s">
        <v>760</v>
      </c>
      <c r="E32" s="898" t="s">
        <v>725</v>
      </c>
      <c r="F32" s="810">
        <v>73.252899999999997</v>
      </c>
      <c r="G32" s="874">
        <v>58.602319999999999</v>
      </c>
      <c r="H32" s="874"/>
      <c r="I32" s="765"/>
      <c r="J32" s="811">
        <v>14.65058</v>
      </c>
      <c r="K32" s="810">
        <v>0.49609999999999999</v>
      </c>
      <c r="L32" s="874">
        <v>0.39688000000000001</v>
      </c>
      <c r="M32" s="765"/>
      <c r="N32" s="765"/>
      <c r="O32" s="874">
        <v>9.9220000000000003E-2</v>
      </c>
      <c r="P32" s="774"/>
      <c r="Q32" s="859" t="s">
        <v>808</v>
      </c>
    </row>
    <row r="33" spans="1:17" ht="61.5" customHeight="1" x14ac:dyDescent="0.25">
      <c r="A33" s="762">
        <v>12</v>
      </c>
      <c r="B33" s="762">
        <v>4</v>
      </c>
      <c r="C33" s="898" t="s">
        <v>752</v>
      </c>
      <c r="D33" s="898" t="s">
        <v>723</v>
      </c>
      <c r="E33" s="898" t="s">
        <v>721</v>
      </c>
      <c r="F33" s="810">
        <v>370.71854999999999</v>
      </c>
      <c r="G33" s="762">
        <v>370.71854999999999</v>
      </c>
      <c r="H33" s="762"/>
      <c r="I33" s="762"/>
      <c r="J33" s="762"/>
      <c r="K33" s="810">
        <v>27.984680000000001</v>
      </c>
      <c r="L33" s="874">
        <v>27.984680000000001</v>
      </c>
      <c r="M33" s="810"/>
      <c r="N33" s="810"/>
      <c r="O33" s="787">
        <v>0</v>
      </c>
      <c r="P33" s="787"/>
      <c r="Q33" s="846" t="s">
        <v>784</v>
      </c>
    </row>
    <row r="34" spans="1:17" ht="63.75" customHeight="1" x14ac:dyDescent="0.25">
      <c r="A34" s="762">
        <v>13</v>
      </c>
      <c r="B34" s="762">
        <v>4</v>
      </c>
      <c r="C34" s="762" t="s">
        <v>746</v>
      </c>
      <c r="D34" s="898" t="s">
        <v>729</v>
      </c>
      <c r="E34" s="898" t="s">
        <v>730</v>
      </c>
      <c r="F34" s="810">
        <v>329.54992000000004</v>
      </c>
      <c r="G34" s="810">
        <v>254.61743000000001</v>
      </c>
      <c r="H34" s="810">
        <v>44.932490000000001</v>
      </c>
      <c r="I34" s="810"/>
      <c r="J34" s="810">
        <v>30</v>
      </c>
      <c r="K34" s="810">
        <v>39.847229999999996</v>
      </c>
      <c r="L34" s="874">
        <v>31.211880000000001</v>
      </c>
      <c r="M34" s="765">
        <v>5.5079799999999999</v>
      </c>
      <c r="N34" s="810"/>
      <c r="O34" s="787"/>
      <c r="P34" s="874">
        <v>3.12737</v>
      </c>
      <c r="Q34" s="898" t="s">
        <v>791</v>
      </c>
    </row>
    <row r="35" spans="1:17" ht="70.5" customHeight="1" x14ac:dyDescent="0.25">
      <c r="A35" s="762">
        <v>14</v>
      </c>
      <c r="B35" s="762">
        <v>5</v>
      </c>
      <c r="C35" s="762" t="s">
        <v>746</v>
      </c>
      <c r="D35" s="898" t="s">
        <v>731</v>
      </c>
      <c r="E35" s="898" t="s">
        <v>730</v>
      </c>
      <c r="F35" s="810">
        <v>305.84480000000002</v>
      </c>
      <c r="G35" s="874">
        <v>244.66784000000001</v>
      </c>
      <c r="H35" s="787"/>
      <c r="I35" s="787"/>
      <c r="J35" s="874">
        <v>61.176960000000001</v>
      </c>
      <c r="K35" s="810">
        <v>0.96799999999999997</v>
      </c>
      <c r="L35" s="765">
        <v>0.96799999999999997</v>
      </c>
      <c r="M35" s="848"/>
      <c r="N35" s="810"/>
      <c r="O35" s="874">
        <v>0</v>
      </c>
      <c r="P35" s="787"/>
      <c r="Q35" s="898" t="s">
        <v>798</v>
      </c>
    </row>
    <row r="36" spans="1:17" ht="78.75" customHeight="1" x14ac:dyDescent="0.25">
      <c r="A36" s="762">
        <v>15</v>
      </c>
      <c r="B36" s="762">
        <v>4</v>
      </c>
      <c r="C36" s="762" t="s">
        <v>746</v>
      </c>
      <c r="D36" s="898" t="s">
        <v>732</v>
      </c>
      <c r="E36" s="790" t="s">
        <v>753</v>
      </c>
      <c r="F36" s="810">
        <v>326.84796</v>
      </c>
      <c r="G36" s="810">
        <v>185.8066</v>
      </c>
      <c r="H36" s="810">
        <v>32.789400000000001</v>
      </c>
      <c r="I36" s="810">
        <v>68.784769999999995</v>
      </c>
      <c r="J36" s="762">
        <v>39.467190000000002</v>
      </c>
      <c r="K36" s="810">
        <v>14.5101</v>
      </c>
      <c r="L36" s="810"/>
      <c r="M36" s="810"/>
      <c r="N36" s="810"/>
      <c r="O36" s="810">
        <v>14.5101</v>
      </c>
      <c r="P36" s="810"/>
      <c r="Q36" s="846" t="s">
        <v>769</v>
      </c>
    </row>
    <row r="37" spans="1:17" ht="129" customHeight="1" thickBot="1" x14ac:dyDescent="0.3">
      <c r="A37" s="762">
        <v>16</v>
      </c>
      <c r="B37" s="762">
        <v>5</v>
      </c>
      <c r="C37" s="762" t="s">
        <v>746</v>
      </c>
      <c r="D37" s="898" t="s">
        <v>765</v>
      </c>
      <c r="E37" s="898" t="s">
        <v>737</v>
      </c>
      <c r="F37" s="810">
        <v>399.99999999999994</v>
      </c>
      <c r="G37" s="902">
        <v>238.12799999999999</v>
      </c>
      <c r="H37" s="889">
        <v>0</v>
      </c>
      <c r="I37" s="810">
        <v>102.34</v>
      </c>
      <c r="J37" s="872">
        <v>59.531999999999996</v>
      </c>
      <c r="K37" s="810">
        <v>99.173550000000006</v>
      </c>
      <c r="L37" s="787">
        <v>0</v>
      </c>
      <c r="M37" s="810">
        <v>0</v>
      </c>
      <c r="N37" s="810">
        <v>99.173550000000006</v>
      </c>
      <c r="O37" s="872">
        <v>0</v>
      </c>
      <c r="P37" s="787"/>
      <c r="Q37" s="898" t="s">
        <v>809</v>
      </c>
    </row>
    <row r="38" spans="1:17" ht="55.2" x14ac:dyDescent="0.25">
      <c r="A38" s="799">
        <v>17</v>
      </c>
      <c r="B38" s="799">
        <v>5</v>
      </c>
      <c r="C38" s="799" t="s">
        <v>746</v>
      </c>
      <c r="D38" s="859" t="s">
        <v>754</v>
      </c>
      <c r="E38" s="859" t="s">
        <v>755</v>
      </c>
      <c r="F38" s="810">
        <v>18.542000000000002</v>
      </c>
      <c r="G38" s="874">
        <v>14.833</v>
      </c>
      <c r="H38" s="874"/>
      <c r="I38" s="765">
        <v>0</v>
      </c>
      <c r="J38" s="813">
        <v>3.7090000000000001</v>
      </c>
      <c r="K38" s="810">
        <v>4.9779999999999998</v>
      </c>
      <c r="L38" s="907">
        <v>3.9809999999999999</v>
      </c>
      <c r="M38" s="847"/>
      <c r="N38" s="847"/>
      <c r="O38" s="813">
        <v>0.997</v>
      </c>
      <c r="P38" s="813"/>
      <c r="Q38" s="862" t="s">
        <v>785</v>
      </c>
    </row>
    <row r="39" spans="1:17" ht="75.75" customHeight="1" x14ac:dyDescent="0.25">
      <c r="A39" s="762">
        <v>18</v>
      </c>
      <c r="B39" s="762">
        <v>5</v>
      </c>
      <c r="C39" s="762" t="s">
        <v>746</v>
      </c>
      <c r="D39" s="898" t="s">
        <v>733</v>
      </c>
      <c r="E39" s="898" t="s">
        <v>734</v>
      </c>
      <c r="F39" s="810">
        <v>108.25054</v>
      </c>
      <c r="G39" s="787">
        <v>84.99</v>
      </c>
      <c r="H39" s="810"/>
      <c r="I39" s="810"/>
      <c r="J39" s="787">
        <v>23.260539999999999</v>
      </c>
      <c r="K39" s="810">
        <v>34.934780000000003</v>
      </c>
      <c r="L39" s="787">
        <v>29.701370000000001</v>
      </c>
      <c r="M39" s="810"/>
      <c r="N39" s="810">
        <v>3.6320899999999998</v>
      </c>
      <c r="O39" s="746">
        <v>1.6013200000000001</v>
      </c>
      <c r="P39" s="787"/>
      <c r="Q39" s="846" t="s">
        <v>799</v>
      </c>
    </row>
    <row r="40" spans="1:17" ht="74.25" customHeight="1" x14ac:dyDescent="0.25">
      <c r="A40" s="762">
        <v>19</v>
      </c>
      <c r="B40" s="762">
        <v>5</v>
      </c>
      <c r="C40" s="762" t="s">
        <v>746</v>
      </c>
      <c r="D40" s="898" t="s">
        <v>735</v>
      </c>
      <c r="E40" s="898" t="s">
        <v>736</v>
      </c>
      <c r="F40" s="810">
        <v>51.118839999999999</v>
      </c>
      <c r="G40" s="787">
        <v>42.335000000000001</v>
      </c>
      <c r="H40" s="810"/>
      <c r="I40" s="810"/>
      <c r="J40" s="787">
        <v>8.7838399999999996</v>
      </c>
      <c r="K40" s="810">
        <v>5.16</v>
      </c>
      <c r="L40" s="736">
        <v>5.16</v>
      </c>
      <c r="M40" s="810"/>
      <c r="N40" s="904"/>
      <c r="O40" s="813">
        <v>0</v>
      </c>
      <c r="P40" s="893"/>
      <c r="Q40" s="898" t="s">
        <v>810</v>
      </c>
    </row>
    <row r="41" spans="1:17" ht="78.75" customHeight="1" x14ac:dyDescent="0.25">
      <c r="A41" s="762">
        <v>20</v>
      </c>
      <c r="B41" s="762">
        <v>5</v>
      </c>
      <c r="C41" s="762" t="s">
        <v>746</v>
      </c>
      <c r="D41" s="798" t="s">
        <v>790</v>
      </c>
      <c r="E41" s="898" t="s">
        <v>738</v>
      </c>
      <c r="F41" s="810">
        <v>82.294000000000011</v>
      </c>
      <c r="G41" s="889">
        <v>55.96</v>
      </c>
      <c r="H41" s="867">
        <v>9.875</v>
      </c>
      <c r="I41" s="867"/>
      <c r="J41" s="889">
        <v>16.459</v>
      </c>
      <c r="K41" s="810">
        <v>51.125</v>
      </c>
      <c r="L41" s="787">
        <v>38.777999999999999</v>
      </c>
      <c r="M41" s="810"/>
      <c r="N41" s="904"/>
      <c r="O41" s="736">
        <v>12.347</v>
      </c>
      <c r="P41" s="893"/>
      <c r="Q41" s="846" t="s">
        <v>786</v>
      </c>
    </row>
    <row r="42" spans="1:17" ht="49.5" customHeight="1" x14ac:dyDescent="0.25">
      <c r="A42" s="799">
        <v>21</v>
      </c>
      <c r="B42" s="740">
        <v>5</v>
      </c>
      <c r="C42" s="740" t="s">
        <v>746</v>
      </c>
      <c r="D42" s="887" t="s">
        <v>773</v>
      </c>
      <c r="E42" s="887" t="s">
        <v>766</v>
      </c>
      <c r="F42" s="810">
        <v>71.515079999999998</v>
      </c>
      <c r="G42" s="892">
        <v>51.477080000000001</v>
      </c>
      <c r="H42" s="892"/>
      <c r="I42" s="738"/>
      <c r="J42" s="808">
        <v>20.038</v>
      </c>
      <c r="K42" s="810">
        <v>49.778080000000003</v>
      </c>
      <c r="L42" s="772">
        <v>25.29345</v>
      </c>
      <c r="M42" s="852">
        <v>4.4466299999999999</v>
      </c>
      <c r="N42" s="852"/>
      <c r="O42" s="772">
        <v>20.038</v>
      </c>
      <c r="P42" s="828"/>
      <c r="Q42" s="854" t="s">
        <v>811</v>
      </c>
    </row>
    <row r="43" spans="1:17" ht="144" customHeight="1" x14ac:dyDescent="0.25">
      <c r="A43" s="799">
        <v>22</v>
      </c>
      <c r="B43" s="799">
        <v>5</v>
      </c>
      <c r="C43" s="799" t="s">
        <v>746</v>
      </c>
      <c r="D43" s="859" t="s">
        <v>774</v>
      </c>
      <c r="E43" s="859" t="s">
        <v>767</v>
      </c>
      <c r="F43" s="810">
        <v>66.856999999999999</v>
      </c>
      <c r="G43" s="874">
        <v>52.689</v>
      </c>
      <c r="H43" s="874"/>
      <c r="I43" s="765">
        <v>2.7730000000000001</v>
      </c>
      <c r="J43" s="741">
        <v>11.395</v>
      </c>
      <c r="K43" s="810">
        <v>51.785579999999996</v>
      </c>
      <c r="L43" s="874">
        <v>40.658099999999997</v>
      </c>
      <c r="M43" s="874"/>
      <c r="N43" s="765">
        <v>2.1398999999999999</v>
      </c>
      <c r="O43" s="741">
        <v>8.9875799999999995</v>
      </c>
      <c r="P43" s="813"/>
      <c r="Q43" s="862" t="s">
        <v>801</v>
      </c>
    </row>
    <row r="44" spans="1:17" ht="48.75" customHeight="1" x14ac:dyDescent="0.25">
      <c r="A44" s="799">
        <v>23</v>
      </c>
      <c r="B44" s="832">
        <v>2</v>
      </c>
      <c r="C44" s="883" t="s">
        <v>756</v>
      </c>
      <c r="D44" s="885" t="s">
        <v>739</v>
      </c>
      <c r="E44" s="883" t="s">
        <v>740</v>
      </c>
      <c r="F44" s="810">
        <v>161.6422</v>
      </c>
      <c r="G44" s="742">
        <v>157.988</v>
      </c>
      <c r="H44" s="742"/>
      <c r="I44" s="800"/>
      <c r="J44" s="745">
        <v>3.6541999999999999</v>
      </c>
      <c r="K44" s="810">
        <v>3.6541999999999999</v>
      </c>
      <c r="L44" s="888">
        <v>0</v>
      </c>
      <c r="M44" s="819"/>
      <c r="N44" s="819"/>
      <c r="O44" s="888">
        <v>0</v>
      </c>
      <c r="P44" s="888">
        <v>3.6541999999999999</v>
      </c>
      <c r="Q44" s="761" t="s">
        <v>787</v>
      </c>
    </row>
    <row r="45" spans="1:17" ht="130.5" customHeight="1" x14ac:dyDescent="0.25">
      <c r="A45" s="799">
        <v>24</v>
      </c>
      <c r="B45" s="762">
        <v>2</v>
      </c>
      <c r="C45" s="762" t="s">
        <v>757</v>
      </c>
      <c r="D45" s="798" t="s">
        <v>741</v>
      </c>
      <c r="E45" s="898" t="s">
        <v>742</v>
      </c>
      <c r="F45" s="810">
        <v>19.838999999999999</v>
      </c>
      <c r="G45" s="810">
        <v>15.8712</v>
      </c>
      <c r="H45" s="889"/>
      <c r="I45" s="867"/>
      <c r="J45" s="737">
        <v>3.9678</v>
      </c>
      <c r="K45" s="810">
        <v>8.1460000000000008</v>
      </c>
      <c r="L45" s="787">
        <v>4.1782000000000004</v>
      </c>
      <c r="M45" s="810"/>
      <c r="N45" s="810"/>
      <c r="O45" s="787">
        <v>3.9678</v>
      </c>
      <c r="P45" s="787"/>
      <c r="Q45" s="846" t="s">
        <v>788</v>
      </c>
    </row>
    <row r="46" spans="1:17" ht="116.25" customHeight="1" x14ac:dyDescent="0.25">
      <c r="A46" s="799">
        <v>25</v>
      </c>
      <c r="B46" s="799">
        <v>2</v>
      </c>
      <c r="C46" s="762" t="s">
        <v>757</v>
      </c>
      <c r="D46" s="782" t="s">
        <v>758</v>
      </c>
      <c r="E46" s="743" t="s">
        <v>742</v>
      </c>
      <c r="F46" s="810">
        <v>9.2149999999999999</v>
      </c>
      <c r="G46" s="892">
        <v>7.3719999999999999</v>
      </c>
      <c r="H46" s="892"/>
      <c r="I46" s="738"/>
      <c r="J46" s="890">
        <v>1.843</v>
      </c>
      <c r="K46" s="810">
        <v>5.2149999999999999</v>
      </c>
      <c r="L46" s="892">
        <v>3.3719999999999999</v>
      </c>
      <c r="M46" s="738"/>
      <c r="N46" s="738"/>
      <c r="O46" s="892">
        <v>1.843</v>
      </c>
      <c r="P46" s="828"/>
      <c r="Q46" s="887" t="s">
        <v>802</v>
      </c>
    </row>
    <row r="47" spans="1:17" ht="86.25" customHeight="1" x14ac:dyDescent="0.25">
      <c r="A47" s="740">
        <v>26</v>
      </c>
      <c r="B47" s="740">
        <v>2</v>
      </c>
      <c r="C47" s="818" t="s">
        <v>757</v>
      </c>
      <c r="D47" s="837" t="s">
        <v>775</v>
      </c>
      <c r="E47" s="887" t="s">
        <v>742</v>
      </c>
      <c r="F47" s="810">
        <v>7.0280000000000005</v>
      </c>
      <c r="G47" s="892">
        <v>5.6124000000000001</v>
      </c>
      <c r="H47" s="892"/>
      <c r="I47" s="738"/>
      <c r="J47" s="751">
        <v>1.4156</v>
      </c>
      <c r="K47" s="810">
        <v>2.73</v>
      </c>
      <c r="L47" s="892">
        <v>1.3144</v>
      </c>
      <c r="M47" s="738"/>
      <c r="N47" s="738"/>
      <c r="O47" s="892">
        <v>1.4156</v>
      </c>
      <c r="P47" s="828"/>
      <c r="Q47" s="854" t="s">
        <v>789</v>
      </c>
    </row>
    <row r="48" spans="1:17" ht="72.75" customHeight="1" x14ac:dyDescent="0.25">
      <c r="A48" s="868">
        <v>27</v>
      </c>
      <c r="B48" s="740">
        <v>5</v>
      </c>
      <c r="C48" s="740" t="s">
        <v>746</v>
      </c>
      <c r="D48" s="836" t="s">
        <v>776</v>
      </c>
      <c r="E48" s="887" t="s">
        <v>761</v>
      </c>
      <c r="F48" s="810">
        <v>14.4</v>
      </c>
      <c r="G48" s="892"/>
      <c r="H48" s="892"/>
      <c r="I48" s="738">
        <v>10</v>
      </c>
      <c r="J48" s="751">
        <v>4.4000000000000004</v>
      </c>
      <c r="K48" s="810">
        <v>14.4</v>
      </c>
      <c r="L48" s="892"/>
      <c r="M48" s="738"/>
      <c r="N48" s="738">
        <v>10</v>
      </c>
      <c r="O48" s="892">
        <v>4.4000000000000004</v>
      </c>
      <c r="P48" s="828"/>
      <c r="Q48" s="854" t="s">
        <v>782</v>
      </c>
    </row>
    <row r="49" spans="1:17" ht="78" customHeight="1" x14ac:dyDescent="0.25">
      <c r="A49" s="868">
        <v>28</v>
      </c>
      <c r="B49" s="834">
        <v>5</v>
      </c>
      <c r="C49" s="834" t="s">
        <v>746</v>
      </c>
      <c r="D49" s="825" t="s">
        <v>777</v>
      </c>
      <c r="E49" s="859" t="s">
        <v>749</v>
      </c>
      <c r="F49" s="810">
        <v>7.9859999999999998</v>
      </c>
      <c r="G49" s="874">
        <v>7.1859999999999999</v>
      </c>
      <c r="H49" s="874"/>
      <c r="I49" s="765"/>
      <c r="J49" s="811">
        <v>0.8</v>
      </c>
      <c r="K49" s="810">
        <v>7.9859999999999998</v>
      </c>
      <c r="L49" s="874">
        <v>7.1859999999999999</v>
      </c>
      <c r="M49" s="874"/>
      <c r="N49" s="765"/>
      <c r="O49" s="874">
        <v>0.8</v>
      </c>
      <c r="P49" s="813">
        <v>0</v>
      </c>
      <c r="Q49" s="781" t="s">
        <v>800</v>
      </c>
    </row>
    <row r="50" spans="1:17" ht="78.75" customHeight="1" x14ac:dyDescent="0.25">
      <c r="A50" s="868">
        <v>29</v>
      </c>
      <c r="B50" s="799">
        <v>5</v>
      </c>
      <c r="C50" s="799" t="s">
        <v>746</v>
      </c>
      <c r="D50" s="825" t="s">
        <v>778</v>
      </c>
      <c r="E50" s="859" t="s">
        <v>749</v>
      </c>
      <c r="F50" s="810">
        <v>231.47118999999998</v>
      </c>
      <c r="G50" s="874"/>
      <c r="H50" s="787">
        <v>68.8</v>
      </c>
      <c r="I50" s="787">
        <v>160.4</v>
      </c>
      <c r="J50" s="811">
        <v>2.2711899999999998</v>
      </c>
      <c r="K50" s="810">
        <v>2.2711899999999998</v>
      </c>
      <c r="L50" s="874"/>
      <c r="M50" s="874"/>
      <c r="N50" s="765"/>
      <c r="O50" s="874">
        <v>2.2711899999999998</v>
      </c>
      <c r="P50" s="813"/>
      <c r="Q50" s="862" t="s">
        <v>783</v>
      </c>
    </row>
    <row r="51" spans="1:17" ht="176.25" customHeight="1" x14ac:dyDescent="0.25">
      <c r="A51" s="868">
        <v>30</v>
      </c>
      <c r="B51" s="762">
        <v>6</v>
      </c>
      <c r="C51" s="814" t="s">
        <v>746</v>
      </c>
      <c r="D51" s="825" t="s">
        <v>770</v>
      </c>
      <c r="E51" s="894" t="s">
        <v>725</v>
      </c>
      <c r="F51" s="810">
        <v>462</v>
      </c>
      <c r="G51" s="787">
        <v>255</v>
      </c>
      <c r="H51" s="810">
        <v>45</v>
      </c>
      <c r="I51" s="810"/>
      <c r="J51" s="787">
        <v>162</v>
      </c>
      <c r="K51" s="810">
        <v>7.0511699999999999</v>
      </c>
      <c r="L51" s="874"/>
      <c r="M51" s="874"/>
      <c r="N51" s="765"/>
      <c r="O51" s="765">
        <v>7.0511699999999999</v>
      </c>
      <c r="P51" s="787"/>
      <c r="Q51" s="846" t="s">
        <v>824</v>
      </c>
    </row>
    <row r="52" spans="1:17" ht="153.75" customHeight="1" thickBot="1" x14ac:dyDescent="0.3">
      <c r="A52" s="799">
        <v>31</v>
      </c>
      <c r="B52" s="868">
        <v>2</v>
      </c>
      <c r="C52" s="868" t="s">
        <v>757</v>
      </c>
      <c r="D52" s="840" t="s">
        <v>762</v>
      </c>
      <c r="E52" s="859" t="s">
        <v>749</v>
      </c>
      <c r="F52" s="810">
        <v>70</v>
      </c>
      <c r="G52" s="874">
        <v>57.851239999999997</v>
      </c>
      <c r="H52" s="874">
        <v>12.148759999999999</v>
      </c>
      <c r="I52" s="765"/>
      <c r="J52" s="811">
        <v>0</v>
      </c>
      <c r="K52" s="810">
        <v>60.921210000000002</v>
      </c>
      <c r="L52" s="874">
        <v>51.607619999999997</v>
      </c>
      <c r="M52" s="874">
        <v>8.8091100000000004</v>
      </c>
      <c r="N52" s="765"/>
      <c r="O52" s="874">
        <v>0.50448000000000004</v>
      </c>
      <c r="P52" s="813"/>
      <c r="Q52" s="862" t="s">
        <v>812</v>
      </c>
    </row>
    <row r="53" spans="1:17" ht="14.4" thickBot="1" x14ac:dyDescent="0.3">
      <c r="A53" s="870"/>
      <c r="B53" s="870"/>
      <c r="C53" s="799"/>
      <c r="D53" s="792" t="s">
        <v>401</v>
      </c>
      <c r="E53" s="792"/>
      <c r="F53" s="845">
        <v>17486.718129999997</v>
      </c>
      <c r="G53" s="845">
        <v>3807.27819</v>
      </c>
      <c r="H53" s="845">
        <v>6110.9284399999997</v>
      </c>
      <c r="I53" s="845">
        <v>720.93668000000002</v>
      </c>
      <c r="J53" s="845">
        <v>6644.2870900000016</v>
      </c>
      <c r="K53" s="845">
        <v>6585.7240599999996</v>
      </c>
      <c r="L53" s="845">
        <v>1697.6087800000003</v>
      </c>
      <c r="M53" s="845">
        <v>3064.9039599999996</v>
      </c>
      <c r="N53" s="845">
        <v>491.58445</v>
      </c>
      <c r="O53" s="845">
        <v>930.77917999999977</v>
      </c>
      <c r="P53" s="886">
        <v>400.84769</v>
      </c>
      <c r="Q53" s="739"/>
    </row>
    <row r="54" spans="1:17" x14ac:dyDescent="0.25">
      <c r="B54" s="6"/>
      <c r="C54" s="6"/>
      <c r="D54" s="6"/>
      <c r="E54" s="6"/>
      <c r="F54" s="6"/>
      <c r="G54" s="6"/>
      <c r="H54" s="6"/>
      <c r="I54" s="6"/>
      <c r="J54" s="6"/>
      <c r="K54" s="6"/>
      <c r="L54" s="6"/>
      <c r="M54" s="6"/>
      <c r="N54" s="6"/>
      <c r="O54" s="6"/>
      <c r="P54" s="6"/>
      <c r="Q54" s="6"/>
    </row>
    <row r="55" spans="1:17" x14ac:dyDescent="0.25">
      <c r="B55" s="6"/>
      <c r="C55" s="6"/>
      <c r="D55" s="6"/>
      <c r="E55" s="6"/>
      <c r="F55" s="6"/>
      <c r="G55" s="6"/>
      <c r="H55" s="6"/>
      <c r="I55" s="6"/>
      <c r="J55" s="6"/>
      <c r="K55" s="6"/>
      <c r="L55" s="6"/>
      <c r="M55" s="6"/>
      <c r="N55" s="6"/>
      <c r="O55" s="6"/>
      <c r="P55" s="6"/>
      <c r="Q55" s="6"/>
    </row>
    <row r="69" spans="4:4" x14ac:dyDescent="0.25">
      <c r="D69" s="6"/>
    </row>
  </sheetData>
  <mergeCells count="13">
    <mergeCell ref="Q19:Q21"/>
    <mergeCell ref="A12:M16"/>
    <mergeCell ref="A19:A21"/>
    <mergeCell ref="B19:B21"/>
    <mergeCell ref="D19:D21"/>
    <mergeCell ref="E19:E21"/>
    <mergeCell ref="F19:F21"/>
    <mergeCell ref="C19:C21"/>
    <mergeCell ref="K19:P20"/>
    <mergeCell ref="G20:G21"/>
    <mergeCell ref="H20:H21"/>
    <mergeCell ref="I20:I21"/>
    <mergeCell ref="J20:J21"/>
  </mergeCells>
  <pageMargins left="0.70866141732283472" right="0.70866141732283472" top="0.74803149606299213" bottom="0.74803149606299213" header="0.31496062992125984" footer="0.31496062992125984"/>
  <pageSetup paperSize="9" scale="6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50552AA0542B42AA5E3F96BF0CA344" ma:contentTypeVersion="3" ma:contentTypeDescription="Create a new document." ma:contentTypeScope="" ma:versionID="0be3c2eaf8da5a164a10a5fdd418a953">
  <xsd:schema xmlns:xsd="http://www.w3.org/2001/XMLSchema" xmlns:xs="http://www.w3.org/2001/XMLSchema" xmlns:p="http://schemas.microsoft.com/office/2006/metadata/properties" xmlns:ns3="6e0158ca-391d-4bf3-9af6-9fa9a3181e4f" targetNamespace="http://schemas.microsoft.com/office/2006/metadata/properties" ma:root="true" ma:fieldsID="9197c58cff819f26b669e7e8f6fe70cb" ns3:_="">
    <xsd:import namespace="6e0158ca-391d-4bf3-9af6-9fa9a3181e4f"/>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0158ca-391d-4bf3-9af6-9fa9a3181e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15C271-E23B-4C9E-95CD-14F396F03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0158ca-391d-4bf3-9af6-9fa9a3181e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7FCEC1-993E-447E-84D0-F636C25526D1}">
  <ds:schemaRefs>
    <ds:schemaRef ds:uri="http://schemas.microsoft.com/sharepoint/v3/contenttype/forms"/>
  </ds:schemaRefs>
</ds:datastoreItem>
</file>

<file path=customXml/itemProps3.xml><?xml version="1.0" encoding="utf-8"?>
<ds:datastoreItem xmlns:ds="http://schemas.openxmlformats.org/officeDocument/2006/customXml" ds:itemID="{9E0C959E-AA49-4317-9B42-A405567C3C14}">
  <ds:schemaRefs>
    <ds:schemaRef ds:uri="http://schemas.microsoft.com/office/2006/metadata/properties"/>
    <ds:schemaRef ds:uri="http://schemas.microsoft.com/office/infopath/2007/PartnerControls"/>
    <ds:schemaRef ds:uri="http://purl.org/dc/elements/1.1/"/>
    <ds:schemaRef ds:uri="http://purl.org/dc/dcmitype/"/>
    <ds:schemaRef ds:uri="6e0158ca-391d-4bf3-9af6-9fa9a3181e4f"/>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10</vt:i4>
      </vt:variant>
      <vt:variant>
        <vt:lpstr>Įvardytieji diapazonai</vt:lpstr>
      </vt:variant>
      <vt:variant>
        <vt:i4>8</vt:i4>
      </vt:variant>
    </vt:vector>
  </HeadingPairs>
  <TitlesOfParts>
    <vt:vector size="18" baseType="lpstr">
      <vt:lpstr>1 priedas</vt:lpstr>
      <vt:lpstr>2 priedas</vt:lpstr>
      <vt:lpstr>3 priedas</vt:lpstr>
      <vt:lpstr>5-išl.pagal programas </vt:lpstr>
      <vt:lpstr>4 priedas</vt:lpstr>
      <vt:lpstr>5 priedas</vt:lpstr>
      <vt:lpstr>6 priedas </vt:lpstr>
      <vt:lpstr>7 priedas</vt:lpstr>
      <vt:lpstr>8 priedas</vt:lpstr>
      <vt:lpstr>9 priedas</vt:lpstr>
      <vt:lpstr>'1 priedas'!Print_Titles</vt:lpstr>
      <vt:lpstr>'2 priedas'!Print_Titles</vt:lpstr>
      <vt:lpstr>'3 priedas'!Print_Titles</vt:lpstr>
      <vt:lpstr>'4 priedas'!Print_Titles</vt:lpstr>
      <vt:lpstr>'5 priedas'!Print_Titles</vt:lpstr>
      <vt:lpstr>'6 priedas '!Print_Titles</vt:lpstr>
      <vt:lpstr>'7 priedas'!Print_Titles</vt:lpstr>
      <vt:lpstr>'8 priedas'!Print_Titles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Aldona</dc:creator>
  <cp:lastModifiedBy>Rasa Virbalienė</cp:lastModifiedBy>
  <cp:lastPrinted>2023-12-22T08:51:11Z</cp:lastPrinted>
  <dcterms:created xsi:type="dcterms:W3CDTF">2013-02-05T08:01:03Z</dcterms:created>
  <dcterms:modified xsi:type="dcterms:W3CDTF">2023-12-22T10:47:00Z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0x010100C450552AA0542B42AA5E3F96BF0CA344</vt:lpwstr>
  </property>
</Properties>
</file>