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virbaliene\Desktop\TARYBA 2024\2024-05-30\2024-05-30 sprendimai\"/>
    </mc:Choice>
  </mc:AlternateContent>
  <xr:revisionPtr revIDLastSave="0" documentId="13_ncr:1_{FA065B97-4C28-44F8-9768-54CB5780E1F3}" xr6:coauthVersionLast="47" xr6:coauthVersionMax="47" xr10:uidLastSave="{00000000-0000-0000-0000-000000000000}"/>
  <bookViews>
    <workbookView xWindow="-120" yWindow="-120" windowWidth="29040" windowHeight="15840" xr2:uid="{C99AC8DC-1378-4021-ABA4-A9BE84278B35}"/>
  </bookViews>
  <sheets>
    <sheet name="Titulinis" sheetId="5" r:id="rId1"/>
    <sheet name="PAJAMOS" sheetId="1" r:id="rId2"/>
    <sheet name="IŠLAIDOS PAGAL ASIGN. VALDYT." sheetId="2" r:id="rId3"/>
    <sheet name="IŠŠLAIDOS PAGAL PROGRAMAS" sheetId="3" r:id="rId4"/>
    <sheet name="ASIGNAVIMAI IŠ APYVARTOS IR SKO" sheetId="4" r:id="rId5"/>
  </sheets>
  <definedNames>
    <definedName name="_xlnm.Print_Titles" localSheetId="4">'ASIGNAVIMAI IŠ APYVARTOS IR SKO'!$6:$9</definedName>
    <definedName name="_xlnm.Print_Titles" localSheetId="2">'IŠLAIDOS PAGAL ASIGN. VALDYT.'!$6:$7</definedName>
    <definedName name="_xlnm.Print_Titles" localSheetId="3">'IŠŠLAIDOS PAGAL PROGRAMAS'!$6:$7</definedName>
    <definedName name="_xlnm.Print_Titles" localSheetId="1">PAJAMOS!$6:$7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D65" i="4"/>
  <c r="D61" i="4"/>
  <c r="E61" i="4"/>
  <c r="F56" i="4"/>
  <c r="E62" i="1"/>
  <c r="H11" i="3"/>
  <c r="H10" i="2"/>
  <c r="D17" i="3" l="1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170" i="3"/>
  <c r="D171" i="3"/>
  <c r="D188" i="3"/>
  <c r="F233" i="3"/>
  <c r="F231" i="3"/>
  <c r="F225" i="3"/>
  <c r="F219" i="3"/>
  <c r="F217" i="3"/>
  <c r="H190" i="3"/>
  <c r="F200" i="3"/>
  <c r="F190" i="3"/>
  <c r="F189" i="3" s="1"/>
  <c r="H143" i="3"/>
  <c r="F184" i="3"/>
  <c r="H104" i="3"/>
  <c r="H19" i="3"/>
  <c r="H21" i="3"/>
  <c r="H8" i="3" s="1"/>
  <c r="F32" i="3"/>
  <c r="G58" i="4"/>
  <c r="G56" i="4"/>
  <c r="A61" i="4"/>
  <c r="F58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H181" i="2"/>
  <c r="G61" i="4" l="1"/>
  <c r="F61" i="4"/>
  <c r="F216" i="3"/>
  <c r="F181" i="2"/>
  <c r="D138" i="2"/>
  <c r="F92" i="2"/>
  <c r="H225" i="3"/>
  <c r="L189" i="3"/>
  <c r="L21" i="3"/>
  <c r="L8" i="3"/>
  <c r="H219" i="3"/>
  <c r="H189" i="3"/>
  <c r="D189" i="3" s="1"/>
  <c r="F121" i="3"/>
  <c r="F112" i="3"/>
  <c r="D112" i="3" s="1"/>
  <c r="F105" i="3"/>
  <c r="F104" i="3" s="1"/>
  <c r="F34" i="3"/>
  <c r="D34" i="3" s="1"/>
  <c r="F29" i="3"/>
  <c r="F25" i="3"/>
  <c r="D25" i="3" s="1"/>
  <c r="F21" i="3"/>
  <c r="F11" i="3"/>
  <c r="D13" i="3"/>
  <c r="D14" i="3"/>
  <c r="D15" i="3"/>
  <c r="D16" i="3"/>
  <c r="D18" i="3"/>
  <c r="D19" i="3"/>
  <c r="D20" i="3"/>
  <c r="D21" i="3"/>
  <c r="D22" i="3"/>
  <c r="D23" i="3"/>
  <c r="D24" i="3"/>
  <c r="D26" i="3"/>
  <c r="D27" i="3"/>
  <c r="D28" i="3"/>
  <c r="D29" i="3"/>
  <c r="D30" i="3"/>
  <c r="D31" i="3"/>
  <c r="D32" i="3"/>
  <c r="D33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93" i="3"/>
  <c r="D94" i="3"/>
  <c r="D95" i="3"/>
  <c r="D96" i="3"/>
  <c r="D97" i="3"/>
  <c r="D98" i="3"/>
  <c r="D99" i="3"/>
  <c r="D100" i="3"/>
  <c r="D101" i="3"/>
  <c r="D102" i="3"/>
  <c r="D103" i="3"/>
  <c r="D105" i="3"/>
  <c r="D106" i="3"/>
  <c r="D107" i="3"/>
  <c r="D108" i="3"/>
  <c r="D109" i="3"/>
  <c r="D110" i="3"/>
  <c r="D111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2" i="3"/>
  <c r="D173" i="3"/>
  <c r="D174" i="3"/>
  <c r="D175" i="3"/>
  <c r="D176" i="3"/>
  <c r="D177" i="3"/>
  <c r="D178" i="3"/>
  <c r="D179" i="3"/>
  <c r="D180" i="3"/>
  <c r="D181" i="3"/>
  <c r="D183" i="3"/>
  <c r="D184" i="3"/>
  <c r="D185" i="3"/>
  <c r="D186" i="3"/>
  <c r="D187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6" i="3"/>
  <c r="D207" i="3"/>
  <c r="D208" i="3"/>
  <c r="D209" i="3"/>
  <c r="D210" i="3"/>
  <c r="D211" i="3"/>
  <c r="D212" i="3"/>
  <c r="D213" i="3"/>
  <c r="D214" i="3"/>
  <c r="D215" i="3"/>
  <c r="D217" i="3"/>
  <c r="D218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10" i="3"/>
  <c r="E234" i="3"/>
  <c r="C234" i="3"/>
  <c r="E233" i="3"/>
  <c r="C233" i="3"/>
  <c r="E232" i="3"/>
  <c r="C232" i="3"/>
  <c r="E231" i="3"/>
  <c r="C231" i="3"/>
  <c r="C230" i="3"/>
  <c r="C229" i="3"/>
  <c r="G228" i="3"/>
  <c r="C228" i="3"/>
  <c r="E227" i="3"/>
  <c r="C227" i="3"/>
  <c r="C226" i="3"/>
  <c r="G225" i="3"/>
  <c r="E225" i="3"/>
  <c r="C225" i="3"/>
  <c r="C224" i="3"/>
  <c r="C223" i="3"/>
  <c r="C222" i="3"/>
  <c r="C221" i="3"/>
  <c r="C220" i="3"/>
  <c r="G219" i="3"/>
  <c r="E219" i="3"/>
  <c r="C219" i="3"/>
  <c r="C218" i="3"/>
  <c r="E217" i="3"/>
  <c r="C217" i="3"/>
  <c r="G216" i="3"/>
  <c r="E216" i="3"/>
  <c r="C216" i="3"/>
  <c r="C215" i="3"/>
  <c r="E214" i="3"/>
  <c r="C214" i="3"/>
  <c r="C213" i="3"/>
  <c r="E212" i="3"/>
  <c r="C212" i="3"/>
  <c r="E211" i="3"/>
  <c r="C211" i="3"/>
  <c r="E210" i="3"/>
  <c r="C210" i="3"/>
  <c r="C209" i="3"/>
  <c r="C208" i="3"/>
  <c r="E207" i="3"/>
  <c r="C207" i="3"/>
  <c r="E206" i="3"/>
  <c r="C206" i="3"/>
  <c r="C205" i="3"/>
  <c r="C204" i="3"/>
  <c r="C203" i="3"/>
  <c r="E202" i="3"/>
  <c r="C202" i="3"/>
  <c r="C201" i="3"/>
  <c r="E200" i="3"/>
  <c r="C200" i="3"/>
  <c r="C199" i="3"/>
  <c r="E198" i="3"/>
  <c r="C198" i="3"/>
  <c r="C197" i="3"/>
  <c r="E196" i="3"/>
  <c r="C196" i="3"/>
  <c r="C195" i="3"/>
  <c r="G194" i="3"/>
  <c r="C194" i="3"/>
  <c r="E193" i="3"/>
  <c r="C193" i="3"/>
  <c r="G192" i="3"/>
  <c r="E192" i="3"/>
  <c r="C192" i="3"/>
  <c r="E191" i="3"/>
  <c r="E190" i="3" s="1"/>
  <c r="E189" i="3" s="1"/>
  <c r="C191" i="3"/>
  <c r="K189" i="3"/>
  <c r="K188" i="3"/>
  <c r="E188" i="3"/>
  <c r="C188" i="3"/>
  <c r="C187" i="3"/>
  <c r="C186" i="3"/>
  <c r="E185" i="3"/>
  <c r="C185" i="3"/>
  <c r="E184" i="3"/>
  <c r="C184" i="3"/>
  <c r="C183" i="3"/>
  <c r="H182" i="3"/>
  <c r="D182" i="3" s="1"/>
  <c r="G182" i="3"/>
  <c r="C182" i="3"/>
  <c r="G181" i="3"/>
  <c r="C181" i="3"/>
  <c r="G180" i="3"/>
  <c r="E180" i="3"/>
  <c r="C180" i="3"/>
  <c r="G179" i="3"/>
  <c r="C179" i="3"/>
  <c r="G178" i="3"/>
  <c r="C178" i="3"/>
  <c r="G177" i="3"/>
  <c r="C177" i="3"/>
  <c r="G176" i="3"/>
  <c r="C176" i="3"/>
  <c r="G175" i="3"/>
  <c r="C175" i="3"/>
  <c r="C174" i="3"/>
  <c r="G173" i="3"/>
  <c r="C173" i="3"/>
  <c r="G172" i="3"/>
  <c r="C172" i="3"/>
  <c r="K171" i="3"/>
  <c r="G171" i="3"/>
  <c r="E171" i="3"/>
  <c r="C171" i="3"/>
  <c r="K170" i="3"/>
  <c r="C170" i="3"/>
  <c r="G169" i="3"/>
  <c r="C169" i="3"/>
  <c r="C168" i="3"/>
  <c r="C167" i="3"/>
  <c r="C166" i="3"/>
  <c r="G165" i="3"/>
  <c r="C165" i="3"/>
  <c r="E164" i="3"/>
  <c r="C164" i="3"/>
  <c r="E163" i="3"/>
  <c r="C163" i="3"/>
  <c r="C162" i="3"/>
  <c r="E161" i="3"/>
  <c r="C161" i="3"/>
  <c r="C160" i="3"/>
  <c r="G159" i="3"/>
  <c r="C159" i="3"/>
  <c r="G158" i="3"/>
  <c r="C158" i="3"/>
  <c r="E157" i="3"/>
  <c r="C157" i="3"/>
  <c r="E156" i="3"/>
  <c r="C156" i="3"/>
  <c r="E155" i="3"/>
  <c r="C155" i="3"/>
  <c r="E154" i="3"/>
  <c r="C154" i="3"/>
  <c r="E153" i="3"/>
  <c r="C153" i="3"/>
  <c r="G152" i="3"/>
  <c r="E152" i="3"/>
  <c r="C152" i="3"/>
  <c r="G151" i="3"/>
  <c r="C151" i="3"/>
  <c r="E150" i="3"/>
  <c r="C150" i="3"/>
  <c r="G149" i="3"/>
  <c r="C149" i="3"/>
  <c r="G148" i="3"/>
  <c r="C148" i="3"/>
  <c r="E147" i="3"/>
  <c r="C147" i="3"/>
  <c r="E146" i="3"/>
  <c r="C146" i="3"/>
  <c r="C145" i="3"/>
  <c r="G144" i="3"/>
  <c r="G143" i="3" s="1"/>
  <c r="E144" i="3"/>
  <c r="C144" i="3"/>
  <c r="H142" i="3"/>
  <c r="F143" i="3"/>
  <c r="F142" i="3" s="1"/>
  <c r="E143" i="3"/>
  <c r="C143" i="3"/>
  <c r="N142" i="3"/>
  <c r="M142" i="3"/>
  <c r="L142" i="3"/>
  <c r="K142" i="3"/>
  <c r="G142" i="3"/>
  <c r="E142" i="3"/>
  <c r="C142" i="3"/>
  <c r="E141" i="3"/>
  <c r="C141" i="3"/>
  <c r="E140" i="3"/>
  <c r="C140" i="3"/>
  <c r="E139" i="3"/>
  <c r="C139" i="3"/>
  <c r="E138" i="3"/>
  <c r="C138" i="3"/>
  <c r="E137" i="3"/>
  <c r="C137" i="3"/>
  <c r="E136" i="3"/>
  <c r="C136" i="3"/>
  <c r="C135" i="3"/>
  <c r="E134" i="3"/>
  <c r="C134" i="3"/>
  <c r="E133" i="3"/>
  <c r="C133" i="3"/>
  <c r="C132" i="3"/>
  <c r="C131" i="3"/>
  <c r="K130" i="3"/>
  <c r="C130" i="3"/>
  <c r="C129" i="3"/>
  <c r="C128" i="3"/>
  <c r="K127" i="3"/>
  <c r="C127" i="3"/>
  <c r="K126" i="3"/>
  <c r="C126" i="3"/>
  <c r="C125" i="3"/>
  <c r="C124" i="3"/>
  <c r="C123" i="3"/>
  <c r="E122" i="3"/>
  <c r="C122" i="3"/>
  <c r="E121" i="3"/>
  <c r="C121" i="3"/>
  <c r="E120" i="3"/>
  <c r="C120" i="3"/>
  <c r="C119" i="3"/>
  <c r="C118" i="3"/>
  <c r="C117" i="3"/>
  <c r="E116" i="3"/>
  <c r="C116" i="3"/>
  <c r="C115" i="3"/>
  <c r="C114" i="3"/>
  <c r="E113" i="3"/>
  <c r="C113" i="3"/>
  <c r="E112" i="3"/>
  <c r="C112" i="3"/>
  <c r="E111" i="3"/>
  <c r="C111" i="3"/>
  <c r="C110" i="3"/>
  <c r="C109" i="3"/>
  <c r="C108" i="3"/>
  <c r="C107" i="3"/>
  <c r="C106" i="3"/>
  <c r="E105" i="3"/>
  <c r="C105" i="3"/>
  <c r="L104" i="3"/>
  <c r="K104" i="3"/>
  <c r="G104" i="3"/>
  <c r="E104" i="3"/>
  <c r="C104" i="3"/>
  <c r="C103" i="3"/>
  <c r="C102" i="3"/>
  <c r="C101" i="3"/>
  <c r="E100" i="3"/>
  <c r="C100" i="3"/>
  <c r="C99" i="3"/>
  <c r="C98" i="3"/>
  <c r="E97" i="3"/>
  <c r="C97" i="3"/>
  <c r="K96" i="3"/>
  <c r="I96" i="3"/>
  <c r="G96" i="3"/>
  <c r="E96" i="3"/>
  <c r="C96" i="3"/>
  <c r="I95" i="3"/>
  <c r="G95" i="3"/>
  <c r="E95" i="3"/>
  <c r="C95" i="3"/>
  <c r="C94" i="3"/>
  <c r="C93" i="3"/>
  <c r="C92" i="3"/>
  <c r="I91" i="3"/>
  <c r="E91" i="3"/>
  <c r="C91" i="3"/>
  <c r="K90" i="3"/>
  <c r="E90" i="3"/>
  <c r="C90" i="3"/>
  <c r="K89" i="3"/>
  <c r="E89" i="3"/>
  <c r="C89" i="3"/>
  <c r="I88" i="3"/>
  <c r="E88" i="3"/>
  <c r="C88" i="3"/>
  <c r="I87" i="3"/>
  <c r="E87" i="3"/>
  <c r="C87" i="3"/>
  <c r="K86" i="3"/>
  <c r="E86" i="3"/>
  <c r="C86" i="3"/>
  <c r="K85" i="3"/>
  <c r="I85" i="3"/>
  <c r="G85" i="3"/>
  <c r="E85" i="3"/>
  <c r="C85" i="3"/>
  <c r="K84" i="3"/>
  <c r="I84" i="3"/>
  <c r="E84" i="3"/>
  <c r="C84" i="3"/>
  <c r="K83" i="3"/>
  <c r="C83" i="3"/>
  <c r="I82" i="3"/>
  <c r="E82" i="3"/>
  <c r="C82" i="3"/>
  <c r="I81" i="3"/>
  <c r="E81" i="3"/>
  <c r="C81" i="3"/>
  <c r="K80" i="3"/>
  <c r="I80" i="3"/>
  <c r="E80" i="3"/>
  <c r="C80" i="3"/>
  <c r="K79" i="3"/>
  <c r="C79" i="3"/>
  <c r="K78" i="3"/>
  <c r="I78" i="3"/>
  <c r="E78" i="3"/>
  <c r="C78" i="3"/>
  <c r="K77" i="3"/>
  <c r="I77" i="3"/>
  <c r="G77" i="3"/>
  <c r="E77" i="3"/>
  <c r="C77" i="3"/>
  <c r="I76" i="3"/>
  <c r="C76" i="3"/>
  <c r="I75" i="3"/>
  <c r="C75" i="3"/>
  <c r="K74" i="3"/>
  <c r="I74" i="3"/>
  <c r="E74" i="3"/>
  <c r="C74" i="3"/>
  <c r="K73" i="3"/>
  <c r="I73" i="3"/>
  <c r="E73" i="3"/>
  <c r="C73" i="3"/>
  <c r="K72" i="3"/>
  <c r="I72" i="3"/>
  <c r="E72" i="3"/>
  <c r="C72" i="3"/>
  <c r="I71" i="3"/>
  <c r="E71" i="3"/>
  <c r="C71" i="3"/>
  <c r="I70" i="3"/>
  <c r="C70" i="3"/>
  <c r="I69" i="3"/>
  <c r="G69" i="3"/>
  <c r="E69" i="3"/>
  <c r="C69" i="3"/>
  <c r="K68" i="3"/>
  <c r="I68" i="3"/>
  <c r="G68" i="3"/>
  <c r="E68" i="3"/>
  <c r="C68" i="3"/>
  <c r="K67" i="3"/>
  <c r="I67" i="3"/>
  <c r="G67" i="3"/>
  <c r="E67" i="3"/>
  <c r="C67" i="3"/>
  <c r="K66" i="3"/>
  <c r="I66" i="3"/>
  <c r="G66" i="3"/>
  <c r="E66" i="3"/>
  <c r="C66" i="3"/>
  <c r="C65" i="3"/>
  <c r="C64" i="3"/>
  <c r="C63" i="3"/>
  <c r="C62" i="3"/>
  <c r="C61" i="3"/>
  <c r="C60" i="3"/>
  <c r="E59" i="3"/>
  <c r="C59" i="3"/>
  <c r="C58" i="3"/>
  <c r="E57" i="3"/>
  <c r="C57" i="3"/>
  <c r="E56" i="3"/>
  <c r="C56" i="3"/>
  <c r="C55" i="3"/>
  <c r="E54" i="3"/>
  <c r="C54" i="3"/>
  <c r="C53" i="3"/>
  <c r="C52" i="3"/>
  <c r="H51" i="3"/>
  <c r="G51" i="3"/>
  <c r="G50" i="3" s="1"/>
  <c r="F51" i="3"/>
  <c r="F50" i="3" s="1"/>
  <c r="E51" i="3"/>
  <c r="C51" i="3"/>
  <c r="N50" i="3"/>
  <c r="M50" i="3"/>
  <c r="L50" i="3"/>
  <c r="K50" i="3"/>
  <c r="J50" i="3"/>
  <c r="I50" i="3"/>
  <c r="I235" i="3" s="1"/>
  <c r="H50" i="3"/>
  <c r="E50" i="3"/>
  <c r="C49" i="3"/>
  <c r="C48" i="3"/>
  <c r="C47" i="3"/>
  <c r="E46" i="3"/>
  <c r="C46" i="3"/>
  <c r="C45" i="3"/>
  <c r="C44" i="3"/>
  <c r="E43" i="3"/>
  <c r="C43" i="3"/>
  <c r="C42" i="3"/>
  <c r="C41" i="3"/>
  <c r="E40" i="3"/>
  <c r="C40" i="3"/>
  <c r="G39" i="3"/>
  <c r="E39" i="3"/>
  <c r="C39" i="3"/>
  <c r="C38" i="3"/>
  <c r="C37" i="3"/>
  <c r="C36" i="3"/>
  <c r="C35" i="3"/>
  <c r="E34" i="3"/>
  <c r="C34" i="3"/>
  <c r="C33" i="3"/>
  <c r="E32" i="3"/>
  <c r="C32" i="3"/>
  <c r="C31" i="3"/>
  <c r="C30" i="3"/>
  <c r="E29" i="3"/>
  <c r="C29" i="3"/>
  <c r="E28" i="3"/>
  <c r="C28" i="3"/>
  <c r="E27" i="3"/>
  <c r="C27" i="3"/>
  <c r="E26" i="3"/>
  <c r="C26" i="3"/>
  <c r="E25" i="3"/>
  <c r="C25" i="3"/>
  <c r="K24" i="3"/>
  <c r="C24" i="3"/>
  <c r="G23" i="3"/>
  <c r="C23" i="3"/>
  <c r="E22" i="3"/>
  <c r="C22" i="3"/>
  <c r="K21" i="3"/>
  <c r="G21" i="3"/>
  <c r="E21" i="3"/>
  <c r="C21" i="3"/>
  <c r="C20" i="3"/>
  <c r="G19" i="3"/>
  <c r="C19" i="3"/>
  <c r="E18" i="3"/>
  <c r="C18" i="3"/>
  <c r="M17" i="3"/>
  <c r="C17" i="3"/>
  <c r="C16" i="3"/>
  <c r="E15" i="3"/>
  <c r="C15" i="3"/>
  <c r="C14" i="3"/>
  <c r="E13" i="3"/>
  <c r="C13" i="3"/>
  <c r="G12" i="3"/>
  <c r="E12" i="3"/>
  <c r="D12" i="3"/>
  <c r="C12" i="3"/>
  <c r="N11" i="3"/>
  <c r="M11" i="3"/>
  <c r="E11" i="3"/>
  <c r="C11" i="3"/>
  <c r="E10" i="3"/>
  <c r="C10" i="3"/>
  <c r="F9" i="3"/>
  <c r="E9" i="3"/>
  <c r="D9" i="3"/>
  <c r="C9" i="3"/>
  <c r="A9" i="3"/>
  <c r="M8" i="3"/>
  <c r="M235" i="3" s="1"/>
  <c r="K8" i="3"/>
  <c r="K235" i="3" s="1"/>
  <c r="G8" i="3"/>
  <c r="E8" i="3"/>
  <c r="E235" i="3" s="1"/>
  <c r="C8" i="3"/>
  <c r="L48" i="2"/>
  <c r="G98" i="2"/>
  <c r="H98" i="2"/>
  <c r="H72" i="2"/>
  <c r="H57" i="2"/>
  <c r="H48" i="2"/>
  <c r="H20" i="2"/>
  <c r="F119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8" i="2"/>
  <c r="D69" i="2"/>
  <c r="D70" i="2"/>
  <c r="D71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8" i="2"/>
  <c r="D89" i="2"/>
  <c r="D90" i="2"/>
  <c r="D91" i="2"/>
  <c r="D93" i="2"/>
  <c r="D94" i="2"/>
  <c r="D95" i="2"/>
  <c r="D96" i="2"/>
  <c r="D97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9" i="2"/>
  <c r="D140" i="2"/>
  <c r="D141" i="2"/>
  <c r="D142" i="2"/>
  <c r="D143" i="2"/>
  <c r="D144" i="2"/>
  <c r="D145" i="2"/>
  <c r="D146" i="2"/>
  <c r="D147" i="2"/>
  <c r="D148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F87" i="2"/>
  <c r="D87" i="2" s="1"/>
  <c r="F72" i="2"/>
  <c r="F67" i="2"/>
  <c r="D67" i="2" s="1"/>
  <c r="F57" i="2"/>
  <c r="F48" i="2"/>
  <c r="D48" i="2" s="1"/>
  <c r="F10" i="2"/>
  <c r="D9" i="2"/>
  <c r="E9" i="2"/>
  <c r="E11" i="2"/>
  <c r="G11" i="2"/>
  <c r="E12" i="2"/>
  <c r="E13" i="2"/>
  <c r="M18" i="2"/>
  <c r="N181" i="2"/>
  <c r="M181" i="2"/>
  <c r="K180" i="2"/>
  <c r="I180" i="2"/>
  <c r="G180" i="2"/>
  <c r="E180" i="2"/>
  <c r="C180" i="2"/>
  <c r="I179" i="2"/>
  <c r="G179" i="2"/>
  <c r="E179" i="2"/>
  <c r="C179" i="2"/>
  <c r="C178" i="2"/>
  <c r="C177" i="2"/>
  <c r="C176" i="2"/>
  <c r="I175" i="2"/>
  <c r="E175" i="2"/>
  <c r="C175" i="2"/>
  <c r="K174" i="2"/>
  <c r="E174" i="2"/>
  <c r="C174" i="2"/>
  <c r="K173" i="2"/>
  <c r="E173" i="2"/>
  <c r="C173" i="2"/>
  <c r="I172" i="2"/>
  <c r="E172" i="2"/>
  <c r="C172" i="2"/>
  <c r="K171" i="2"/>
  <c r="I171" i="2"/>
  <c r="E171" i="2"/>
  <c r="C171" i="2"/>
  <c r="K170" i="2"/>
  <c r="E170" i="2"/>
  <c r="C170" i="2"/>
  <c r="K169" i="2"/>
  <c r="I169" i="2"/>
  <c r="G169" i="2"/>
  <c r="E169" i="2"/>
  <c r="C169" i="2"/>
  <c r="K168" i="2"/>
  <c r="I168" i="2"/>
  <c r="E168" i="2"/>
  <c r="C168" i="2"/>
  <c r="K167" i="2"/>
  <c r="C167" i="2"/>
  <c r="I166" i="2"/>
  <c r="E166" i="2"/>
  <c r="C166" i="2"/>
  <c r="I165" i="2"/>
  <c r="E165" i="2"/>
  <c r="C165" i="2"/>
  <c r="K164" i="2"/>
  <c r="I164" i="2"/>
  <c r="E164" i="2"/>
  <c r="C164" i="2"/>
  <c r="L181" i="2"/>
  <c r="K163" i="2"/>
  <c r="C163" i="2"/>
  <c r="K162" i="2"/>
  <c r="I162" i="2"/>
  <c r="E162" i="2"/>
  <c r="C162" i="2"/>
  <c r="K161" i="2"/>
  <c r="I161" i="2"/>
  <c r="G161" i="2"/>
  <c r="E161" i="2"/>
  <c r="C161" i="2"/>
  <c r="I160" i="2"/>
  <c r="C160" i="2"/>
  <c r="I159" i="2"/>
  <c r="C159" i="2"/>
  <c r="K158" i="2"/>
  <c r="I158" i="2"/>
  <c r="E158" i="2"/>
  <c r="C158" i="2"/>
  <c r="K157" i="2"/>
  <c r="I157" i="2"/>
  <c r="E157" i="2"/>
  <c r="C157" i="2"/>
  <c r="K156" i="2"/>
  <c r="I156" i="2"/>
  <c r="E156" i="2"/>
  <c r="C156" i="2"/>
  <c r="I155" i="2"/>
  <c r="E155" i="2"/>
  <c r="C155" i="2"/>
  <c r="I154" i="2"/>
  <c r="C154" i="2"/>
  <c r="I153" i="2"/>
  <c r="G153" i="2"/>
  <c r="E153" i="2"/>
  <c r="C153" i="2"/>
  <c r="K152" i="2"/>
  <c r="I152" i="2"/>
  <c r="G152" i="2"/>
  <c r="E152" i="2"/>
  <c r="C152" i="2"/>
  <c r="K151" i="2"/>
  <c r="I151" i="2"/>
  <c r="G151" i="2"/>
  <c r="E151" i="2"/>
  <c r="C151" i="2"/>
  <c r="K150" i="2"/>
  <c r="K181" i="2" s="1"/>
  <c r="J181" i="2"/>
  <c r="I150" i="2"/>
  <c r="I181" i="2" s="1"/>
  <c r="G150" i="2"/>
  <c r="G181" i="2" s="1"/>
  <c r="E150" i="2"/>
  <c r="E181" i="2" s="1"/>
  <c r="C181" i="2" s="1"/>
  <c r="C150" i="2"/>
  <c r="G148" i="2"/>
  <c r="C148" i="2"/>
  <c r="G147" i="2"/>
  <c r="E147" i="2"/>
  <c r="C147" i="2"/>
  <c r="G146" i="2"/>
  <c r="C146" i="2"/>
  <c r="G145" i="2"/>
  <c r="E145" i="2"/>
  <c r="C145" i="2"/>
  <c r="G144" i="2"/>
  <c r="E144" i="2"/>
  <c r="C144" i="2"/>
  <c r="G143" i="2"/>
  <c r="E143" i="2"/>
  <c r="C143" i="2"/>
  <c r="G142" i="2"/>
  <c r="E142" i="2"/>
  <c r="C142" i="2"/>
  <c r="E141" i="2"/>
  <c r="C141" i="2"/>
  <c r="G140" i="2"/>
  <c r="E140" i="2"/>
  <c r="C140" i="2"/>
  <c r="G139" i="2"/>
  <c r="E139" i="2"/>
  <c r="C139" i="2"/>
  <c r="C138" i="2"/>
  <c r="K137" i="2"/>
  <c r="G137" i="2"/>
  <c r="E137" i="2"/>
  <c r="C137" i="2"/>
  <c r="K136" i="2"/>
  <c r="C136" i="2"/>
  <c r="K135" i="2"/>
  <c r="E135" i="2"/>
  <c r="C135" i="2"/>
  <c r="K134" i="2"/>
  <c r="C134" i="2"/>
  <c r="E133" i="2"/>
  <c r="C133" i="2"/>
  <c r="C132" i="2"/>
  <c r="K131" i="2"/>
  <c r="C131" i="2"/>
  <c r="K130" i="2"/>
  <c r="C130" i="2"/>
  <c r="G129" i="2"/>
  <c r="E129" i="2"/>
  <c r="C129" i="2"/>
  <c r="C128" i="2"/>
  <c r="C127" i="2"/>
  <c r="C126" i="2"/>
  <c r="C125" i="2"/>
  <c r="C124" i="2"/>
  <c r="E123" i="2"/>
  <c r="C123" i="2"/>
  <c r="C122" i="2"/>
  <c r="C121" i="2"/>
  <c r="E120" i="2"/>
  <c r="C120" i="2"/>
  <c r="E119" i="2"/>
  <c r="C119" i="2"/>
  <c r="C118" i="2"/>
  <c r="C117" i="2"/>
  <c r="C116" i="2"/>
  <c r="E115" i="2"/>
  <c r="C115" i="2"/>
  <c r="C114" i="2"/>
  <c r="C113" i="2"/>
  <c r="C112" i="2"/>
  <c r="C111" i="2"/>
  <c r="C110" i="2"/>
  <c r="C109" i="2"/>
  <c r="C108" i="2"/>
  <c r="E107" i="2"/>
  <c r="C107" i="2"/>
  <c r="C106" i="2"/>
  <c r="E105" i="2"/>
  <c r="C105" i="2"/>
  <c r="E104" i="2"/>
  <c r="C104" i="2"/>
  <c r="E103" i="2"/>
  <c r="C103" i="2"/>
  <c r="C102" i="2"/>
  <c r="C101" i="2"/>
  <c r="C100" i="2"/>
  <c r="C99" i="2"/>
  <c r="F98" i="2"/>
  <c r="D98" i="2" s="1"/>
  <c r="E98" i="2"/>
  <c r="C98" i="2"/>
  <c r="C97" i="2"/>
  <c r="C96" i="2"/>
  <c r="C95" i="2"/>
  <c r="C94" i="2"/>
  <c r="C93" i="2"/>
  <c r="H92" i="2"/>
  <c r="D92" i="2" s="1"/>
  <c r="G92" i="2"/>
  <c r="E92" i="2"/>
  <c r="C92" i="2"/>
  <c r="C91" i="2"/>
  <c r="C90" i="2"/>
  <c r="C89" i="2"/>
  <c r="C88" i="2"/>
  <c r="E87" i="2"/>
  <c r="C87" i="2"/>
  <c r="C86" i="2"/>
  <c r="G85" i="2"/>
  <c r="G72" i="2" s="1"/>
  <c r="C85" i="2"/>
  <c r="C84" i="2"/>
  <c r="C83" i="2"/>
  <c r="C82" i="2"/>
  <c r="E81" i="2"/>
  <c r="C81" i="2"/>
  <c r="C80" i="2"/>
  <c r="E79" i="2"/>
  <c r="C79" i="2"/>
  <c r="C78" i="2"/>
  <c r="C77" i="2"/>
  <c r="E76" i="2"/>
  <c r="E72" i="2" s="1"/>
  <c r="C76" i="2"/>
  <c r="C75" i="2"/>
  <c r="C74" i="2"/>
  <c r="C73" i="2"/>
  <c r="C72" i="2"/>
  <c r="E71" i="2"/>
  <c r="C71" i="2"/>
  <c r="E70" i="2"/>
  <c r="C70" i="2"/>
  <c r="E69" i="2"/>
  <c r="C69" i="2"/>
  <c r="E68" i="2"/>
  <c r="C68" i="2"/>
  <c r="E67" i="2"/>
  <c r="C67" i="2"/>
  <c r="C66" i="2"/>
  <c r="E65" i="2"/>
  <c r="C65" i="2"/>
  <c r="C64" i="2"/>
  <c r="E63" i="2"/>
  <c r="C63" i="2"/>
  <c r="C62" i="2"/>
  <c r="G61" i="2"/>
  <c r="C61" i="2"/>
  <c r="E60" i="2"/>
  <c r="C60" i="2"/>
  <c r="G59" i="2"/>
  <c r="E59" i="2"/>
  <c r="C59" i="2"/>
  <c r="E58" i="2"/>
  <c r="C58" i="2"/>
  <c r="G57" i="2"/>
  <c r="E57" i="2"/>
  <c r="C57" i="2"/>
  <c r="C56" i="2"/>
  <c r="G55" i="2"/>
  <c r="G48" i="2" s="1"/>
  <c r="C55" i="2"/>
  <c r="K54" i="2"/>
  <c r="K48" i="2" s="1"/>
  <c r="C54" i="2"/>
  <c r="C53" i="2"/>
  <c r="C52" i="2"/>
  <c r="E51" i="2"/>
  <c r="C51" i="2"/>
  <c r="E50" i="2"/>
  <c r="C50" i="2"/>
  <c r="E49" i="2"/>
  <c r="C49" i="2"/>
  <c r="K149" i="2"/>
  <c r="K182" i="2" s="1"/>
  <c r="E48" i="2"/>
  <c r="C48" i="2"/>
  <c r="G47" i="2"/>
  <c r="C47" i="2"/>
  <c r="C46" i="2"/>
  <c r="C45" i="2"/>
  <c r="C44" i="2"/>
  <c r="G43" i="2"/>
  <c r="C43" i="2"/>
  <c r="E42" i="2"/>
  <c r="C42" i="2"/>
  <c r="E41" i="2"/>
  <c r="C41" i="2"/>
  <c r="C40" i="2"/>
  <c r="E39" i="2"/>
  <c r="C39" i="2"/>
  <c r="C38" i="2"/>
  <c r="G37" i="2"/>
  <c r="C37" i="2"/>
  <c r="G36" i="2"/>
  <c r="C36" i="2"/>
  <c r="E35" i="2"/>
  <c r="C35" i="2"/>
  <c r="E34" i="2"/>
  <c r="C34" i="2"/>
  <c r="E33" i="2"/>
  <c r="C33" i="2"/>
  <c r="E32" i="2"/>
  <c r="C32" i="2"/>
  <c r="E31" i="2"/>
  <c r="C31" i="2"/>
  <c r="G30" i="2"/>
  <c r="E30" i="2"/>
  <c r="C30" i="2"/>
  <c r="G29" i="2"/>
  <c r="C29" i="2"/>
  <c r="E28" i="2"/>
  <c r="C28" i="2"/>
  <c r="C27" i="2"/>
  <c r="G26" i="2"/>
  <c r="C26" i="2"/>
  <c r="G25" i="2"/>
  <c r="C25" i="2"/>
  <c r="E24" i="2"/>
  <c r="C24" i="2"/>
  <c r="E23" i="2"/>
  <c r="C23" i="2"/>
  <c r="C22" i="2"/>
  <c r="G21" i="2"/>
  <c r="E21" i="2"/>
  <c r="C21" i="2"/>
  <c r="G20" i="2"/>
  <c r="F20" i="2"/>
  <c r="E20" i="2"/>
  <c r="C20" i="2"/>
  <c r="E19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N10" i="2"/>
  <c r="M10" i="2"/>
  <c r="M149" i="2" s="1"/>
  <c r="M182" i="2" s="1"/>
  <c r="G10" i="2"/>
  <c r="G149" i="2" s="1"/>
  <c r="G182" i="2" s="1"/>
  <c r="E10" i="2"/>
  <c r="C10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C9" i="2"/>
  <c r="F8" i="2"/>
  <c r="E8" i="2"/>
  <c r="E149" i="2" s="1"/>
  <c r="D8" i="2"/>
  <c r="C8" i="2"/>
  <c r="E75" i="1"/>
  <c r="E22" i="1"/>
  <c r="E49" i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D50" i="3"/>
  <c r="C50" i="3"/>
  <c r="D142" i="3"/>
  <c r="G190" i="3"/>
  <c r="D104" i="3"/>
  <c r="D181" i="2"/>
  <c r="F149" i="2"/>
  <c r="H149" i="2"/>
  <c r="H182" i="2" s="1"/>
  <c r="L149" i="2"/>
  <c r="N8" i="3"/>
  <c r="D11" i="3"/>
  <c r="N235" i="3"/>
  <c r="N149" i="2"/>
  <c r="N182" i="2" s="1"/>
  <c r="D10" i="2"/>
  <c r="H216" i="3"/>
  <c r="D216" i="3" s="1"/>
  <c r="D219" i="3"/>
  <c r="D190" i="3"/>
  <c r="D143" i="3"/>
  <c r="D51" i="3"/>
  <c r="L235" i="3"/>
  <c r="F8" i="3"/>
  <c r="D8" i="3" s="1"/>
  <c r="L182" i="2"/>
  <c r="D72" i="2"/>
  <c r="D57" i="2"/>
  <c r="D20" i="2"/>
  <c r="J235" i="3"/>
  <c r="H235" i="3"/>
  <c r="E182" i="2"/>
  <c r="C149" i="2"/>
  <c r="I182" i="2"/>
  <c r="J182" i="2"/>
  <c r="E27" i="1"/>
  <c r="E9" i="1"/>
  <c r="D9" i="1"/>
  <c r="E68" i="1"/>
  <c r="E61" i="1" s="1"/>
  <c r="E12" i="1"/>
  <c r="E16" i="1"/>
  <c r="E21" i="1"/>
  <c r="E19" i="1" s="1"/>
  <c r="D21" i="1"/>
  <c r="D79" i="1"/>
  <c r="D75" i="1"/>
  <c r="D73" i="1"/>
  <c r="D72" i="1"/>
  <c r="D71" i="1"/>
  <c r="D70" i="1"/>
  <c r="D69" i="1"/>
  <c r="D68" i="1"/>
  <c r="D67" i="1"/>
  <c r="D64" i="1"/>
  <c r="D62" i="1"/>
  <c r="D61" i="1"/>
  <c r="D50" i="1"/>
  <c r="D49" i="1"/>
  <c r="D47" i="1"/>
  <c r="D45" i="1"/>
  <c r="D42" i="1"/>
  <c r="D39" i="1"/>
  <c r="D38" i="1"/>
  <c r="D33" i="1"/>
  <c r="D27" i="1" s="1"/>
  <c r="D23" i="1"/>
  <c r="D22" i="1" s="1"/>
  <c r="D20" i="1"/>
  <c r="D19" i="1"/>
  <c r="D18" i="1"/>
  <c r="D16" i="1"/>
  <c r="D15" i="1"/>
  <c r="D14" i="1"/>
  <c r="D12" i="1"/>
  <c r="D8" i="1"/>
  <c r="D74" i="1" s="1"/>
  <c r="D80" i="1" s="1"/>
  <c r="C190" i="3" l="1"/>
  <c r="G189" i="3"/>
  <c r="C182" i="2"/>
  <c r="E18" i="1"/>
  <c r="F235" i="3"/>
  <c r="D235" i="3" s="1"/>
  <c r="D149" i="2"/>
  <c r="F182" i="2"/>
  <c r="D182" i="2" s="1"/>
  <c r="E8" i="1"/>
  <c r="E74" i="1" s="1"/>
  <c r="C189" i="3" l="1"/>
  <c r="G235" i="3"/>
  <c r="C235" i="3" s="1"/>
  <c r="E80" i="1"/>
</calcChain>
</file>

<file path=xl/sharedStrings.xml><?xml version="1.0" encoding="utf-8"?>
<sst xmlns="http://schemas.openxmlformats.org/spreadsheetml/2006/main" count="679" uniqueCount="418">
  <si>
    <t>tūkst.eur</t>
  </si>
  <si>
    <t>Eil.     Nr.</t>
  </si>
  <si>
    <t>Pajamų klasifikacijos kodas</t>
  </si>
  <si>
    <t xml:space="preserve">            Pajamos</t>
  </si>
  <si>
    <t>1.1.</t>
  </si>
  <si>
    <t>MOKESČIAI (2+5+9)</t>
  </si>
  <si>
    <t>1.1.1.</t>
  </si>
  <si>
    <t xml:space="preserve"> Pajamų ir pelno mokesčiai (3+4)</t>
  </si>
  <si>
    <t>1.1.1.1.1.</t>
  </si>
  <si>
    <t>Gyventojų pajamų mokestis</t>
  </si>
  <si>
    <t>1.1.3.</t>
  </si>
  <si>
    <t>Turto  mokesčiai (6+7+8)</t>
  </si>
  <si>
    <t>1.1.3.1.</t>
  </si>
  <si>
    <t>Žemės mokestis</t>
  </si>
  <si>
    <t>1.1.3.2.</t>
  </si>
  <si>
    <t>Paveldimo ir dovanojimo mokestis</t>
  </si>
  <si>
    <t>1.1.3.3.</t>
  </si>
  <si>
    <t>Nekilnojamojo turto mokestis</t>
  </si>
  <si>
    <t>1.1.4.</t>
  </si>
  <si>
    <t>Prekių ir paslaugų mokesčiai (10)</t>
  </si>
  <si>
    <t>1.1.4.7.1.1.</t>
  </si>
  <si>
    <t>Mokesčiai už aplinkos teršimą</t>
  </si>
  <si>
    <t>1.3.</t>
  </si>
  <si>
    <t>1.3.3.</t>
  </si>
  <si>
    <t>Europos Sąjungos finansinės paramos lėšos</t>
  </si>
  <si>
    <t>1.3.3.1.</t>
  </si>
  <si>
    <t>Europos Sąjungos finansinės paramos lėšos  einamiesiems tikslams</t>
  </si>
  <si>
    <t>1.3.3.2.</t>
  </si>
  <si>
    <t>Europos Sąjungos finansinės paramos lėšos turtui įsigyti</t>
  </si>
  <si>
    <t>1.3.4.1.1.1.</t>
  </si>
  <si>
    <t>Specialioji tikslinė dotacija iš viso (16+...+20)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</si>
  <si>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</si>
  <si>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</si>
  <si>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</si>
  <si>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</si>
  <si>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</si>
  <si>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(Rokiškio pagrindinei mokyklai (VBD))</t>
  </si>
  <si>
    <t xml:space="preserve"> 1.3.4.1.1.1.4.</t>
  </si>
  <si>
    <t>Juozo Tumo-Vaižganto gimnazijos klasėms, turinčioms moksleivių su specialiaisiais ugdymo poreikiais</t>
  </si>
  <si>
    <t>Koordinuotai teikiamų paslaugų vaikams ir vaiko atstovams (koordinavimui finansuoti (TBK))</t>
  </si>
  <si>
    <t>1.3.4.1.1.5.</t>
  </si>
  <si>
    <t>1.3.4.1.1.5.1.</t>
  </si>
  <si>
    <t>Akredituotai vaikų dienos socialinei priežiūrai organizuoti, teikti ir administruoti (VBD)</t>
  </si>
  <si>
    <t>Neformaliajam vaikų švietimui</t>
  </si>
  <si>
    <t>1.3.4.1.1.5.3.</t>
  </si>
  <si>
    <t>Ugdymo, maitinimo ir pavėžėjimo lėšos socialinę riziką patiriančių vaikų ikimokykliniam ugdymui užtikrinti</t>
  </si>
  <si>
    <t>1.3.4.1.1.5.4.</t>
  </si>
  <si>
    <t>Akredituotai socialinei reabilitacijai neįgaliesiems bendruomenėje organizuoti, teikti  ir administruoti</t>
  </si>
  <si>
    <t>1.3.4.1.1.5.5.</t>
  </si>
  <si>
    <t>Lėšos asmeninei pagalbai teikti ir administruoti</t>
  </si>
  <si>
    <t>1.3.4.1.1.5.6.</t>
  </si>
  <si>
    <t>Kompleksinėms paslaugoms šeimai organizuoti</t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</si>
  <si>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</si>
  <si>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</si>
  <si>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</si>
  <si>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</si>
  <si>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</si>
  <si>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</si>
  <si>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</si>
  <si>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</si>
  <si>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1.3.4.1.1.5.11.</t>
  </si>
  <si>
    <t>Lėšos vaikams, atvykusiems į Lietuvos Respubliką iš Ukrainos dėl Rusijos Federacijos karinių veiksmų  Ukrainoje, ugdyti ir pavėžėti į mokyklą ir atgal</t>
  </si>
  <si>
    <t>Lėšos būsto pritaikymui neįgaliesiems</t>
  </si>
  <si>
    <t>1.3.4.1.1.5.13.</t>
  </si>
  <si>
    <t>Kelių priežiūros ir plėtros programa</t>
  </si>
  <si>
    <t>1.3.4.1.1.5.14.</t>
  </si>
  <si>
    <t xml:space="preserve">Lėšos siekiant užtikrinti Lietuvos Respublikos piniginės socialinės  paramos nepasiturintiems gyventojams įstatymo įgyvendinimą </t>
  </si>
  <si>
    <t>1.3.4.1.1.5.15.</t>
  </si>
  <si>
    <t>Lėšos išlaidoms, susijusioms su mokyklų mokytojų, dirbančių pagal ikimokyklinio, priešmokyklinio, bendrojo  ugdymo ir profesinio mokymo programas, personalo optimizavimui ir atnaujinimui apmokėti</t>
  </si>
  <si>
    <t>1.3.4.1.1.5.16.</t>
  </si>
  <si>
    <t>Dotacija naudotoms padangoms, kurių turėtojo nustatyti neįmanoma arba kuris neegzistuoja, tvarkyti</t>
  </si>
  <si>
    <t>Lietuvos Respublikos Vyriausybės rezervo lėšos savivaldybių partirtoms išlaidoms, susijusioms su užsieniečiais, pasitraukusiais iš Ukrainos dėl Rusijos Federacijos karinių  veiksmų Ukrainoje, kompensuoti</t>
  </si>
  <si>
    <t>1.3.4.4.4.5.18.</t>
  </si>
  <si>
    <t>Valstybės tarnybos reformai įgyvendinti</t>
  </si>
  <si>
    <t>1.3.4.4.4.5.19.</t>
  </si>
  <si>
    <t>Lėšos teikiant socialinę paramą mokiniams pagal Lietuvos Respublikos paramos mokiniams įstatyną užsieniečiams, pasitraukusiems iš Ukrainos  dėl Rusijos Federacijos  karinių veiksmų Ukrainoje, padengti</t>
  </si>
  <si>
    <t>Dotacija projektui ,,Regioninių ir savivaldybių atliekų prevencijos ir tvarkymo planų projektų rengimas"</t>
  </si>
  <si>
    <t>1.3.4.2.</t>
  </si>
  <si>
    <t>1.3.4.2.1.1.1.</t>
  </si>
  <si>
    <t>Daugiafunkcės salės Rokiškio m. Taikos g.21A  statybai (VBD/VIP)</t>
  </si>
  <si>
    <t>1.3.4.2.1.1.2.</t>
  </si>
  <si>
    <t>Savivaldybių viešosioms bibliotekoms dokumentams 2023 metais įsigyti (VBD)</t>
  </si>
  <si>
    <t>1.3.4.2.1.1.4.</t>
  </si>
  <si>
    <t>1.3.4.2.1.1.5.</t>
  </si>
  <si>
    <t>Dotacija projektui ,,Tekstilės atliekų surinkimo atliekų konteinerių įsigijimas Panevėžio  regione"</t>
  </si>
  <si>
    <t>1.3.4.2.1.1.6.</t>
  </si>
  <si>
    <t>Dotacija projektui ,,Atsinaujinančių energijos išteklių (75 k galios saulės elektrinės) diegimas Rokiškio  Juozo Tumo-Vaižganto gimnazijoje (Taikos g.17 Rokiškis)"</t>
  </si>
  <si>
    <t>1.3.4.2.1.1.7.</t>
  </si>
  <si>
    <t>Dotacija projektui ,,Atsinaujinančių energijos išteklių (saulės elektrinės) diegimas Rokiškio  Juozo Tumo-Vaižganto gimnazijoje Riomerio g.1, Rokiškis)"</t>
  </si>
  <si>
    <t>1.3.4.2.1.1.8.</t>
  </si>
  <si>
    <t>Dotacija projektui ,,Vandens tiekimo ir nuotekų tvarkymo sistemų renovavimas ir plėtra Rokiškio rajone“</t>
  </si>
  <si>
    <t>1.3.4.2.1.1.9.</t>
  </si>
  <si>
    <t>1.3.4.2.1.1.10.</t>
  </si>
  <si>
    <t>Dotacija AB Panevėžio energija projektui "Kėdainių ŠTR katilinės  dūmų valymo filtrų įrengimas"</t>
  </si>
  <si>
    <t>1.3.4.2.1.1.11.</t>
  </si>
  <si>
    <t>Dotacija savivaldybės vykdomų projektų nuosavai daliai finansuoti</t>
  </si>
  <si>
    <t>1.4.</t>
  </si>
  <si>
    <t>1.4.1.</t>
  </si>
  <si>
    <t>1.4.1.4.1.</t>
  </si>
  <si>
    <t>Nuomos mokestis už valstybinę žemę ir valstybinio vidaus fondo vandens telkinius</t>
  </si>
  <si>
    <t>1.4.1.1.1.2.</t>
  </si>
  <si>
    <t>Palūkanos už indėlius, depozitus ir sąskaitų likučius</t>
  </si>
  <si>
    <t>1.4.1.2.1.2.</t>
  </si>
  <si>
    <t>Dividendai</t>
  </si>
  <si>
    <t>1.4.1.4.2.1.</t>
  </si>
  <si>
    <t>Mokestis už  kitus valstybinius gamtos išteklius</t>
  </si>
  <si>
    <t>1.4.2.1.</t>
  </si>
  <si>
    <t xml:space="preserve">Pajamos už teikiamas paslaugas </t>
  </si>
  <si>
    <t>1.4.2.1.6.1</t>
  </si>
  <si>
    <t>1.4.2.1.6.2</t>
  </si>
  <si>
    <t>Valstybės rinkliavos</t>
  </si>
  <si>
    <t>1.1.4.7.2.2.</t>
  </si>
  <si>
    <t>Vietinės rinkliavos</t>
  </si>
  <si>
    <t>1.4.3.1.</t>
  </si>
  <si>
    <t>Pajamos iš baudų ir konfiskuoto turto ir kitų netesybų</t>
  </si>
  <si>
    <t>1.4.4.1.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</si>
  <si>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</si>
  <si>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</si>
  <si>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</si>
  <si>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</si>
  <si>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</si>
  <si>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</si>
  <si>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</si>
  <si>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Skolintos lėšos</t>
  </si>
  <si>
    <t>IŠ VISO</t>
  </si>
  <si>
    <t>iš jo: gyventojų pajamų mokestis iš veiklos su verslo liudijimu</t>
  </si>
  <si>
    <t>Dotacija projektui ,,Suinteresuotų asmenų įtraukimas į viešojo valdymo sprendimų priėmimą rokiškio rajono savivaldybėje"</t>
  </si>
  <si>
    <t>1.3.4.1.1.5.2</t>
  </si>
  <si>
    <t>1.3.4.1.1.5.12.</t>
  </si>
  <si>
    <t>1.3.4.1.1.5.17.</t>
  </si>
  <si>
    <t>1.3.4.4.4.5.20.</t>
  </si>
  <si>
    <t>1.3.4.2.1.1.3.</t>
  </si>
  <si>
    <t xml:space="preserve">                                                                                      ROKIŠKIO RAJONO SAVIVALDYBĖS 2016 METŲ BIUDŽETAS</t>
  </si>
  <si>
    <t>tūkst. Eur</t>
  </si>
  <si>
    <t>Eil.Nr.</t>
  </si>
  <si>
    <t>Programos/asignavimų valdytojo pavadinimas</t>
  </si>
  <si>
    <t>Iš viso</t>
  </si>
  <si>
    <t>Iš viso SF*</t>
  </si>
  <si>
    <t>Iš viso VF*</t>
  </si>
  <si>
    <t>Iš viso ML*</t>
  </si>
  <si>
    <t>Iš viso SP PR*</t>
  </si>
  <si>
    <t>Iš viso ES FP*</t>
  </si>
  <si>
    <t>Savivaldybės taryba</t>
  </si>
  <si>
    <t>Tarybos narių darbo apmokėjimas</t>
  </si>
  <si>
    <t>Savivaldybės administracija (iš viso)</t>
  </si>
  <si>
    <t>Administracija</t>
  </si>
  <si>
    <t>Savivaldybės kitos išlaidos</t>
  </si>
  <si>
    <t>Mero rezervas</t>
  </si>
  <si>
    <t>Mero ir vicemero darbo apmokėjimas</t>
  </si>
  <si>
    <t>Darbo politikos formavimas ir įgyvendinimas</t>
  </si>
  <si>
    <t>Trūkstamų specialistų pritraukimo į Panevėžio apskrities vyriausiojo policijos komisriato Rokiškio policijos komisariatą programa</t>
  </si>
  <si>
    <t>Smulkaus ir vidutinio verslo plėtros programa</t>
  </si>
  <si>
    <t>Europos Sąjungos  finansinės paramos lėšos projektams finansuoti</t>
  </si>
  <si>
    <t xml:space="preserve">Kontrolės ir audito tarnyba </t>
  </si>
  <si>
    <t>Socialinės paramos ir sveikatos skyrius (iš viso)</t>
  </si>
  <si>
    <t>Socialinė parama</t>
  </si>
  <si>
    <t>Slauga pagal socialines indikacijas</t>
  </si>
  <si>
    <t>Parapijos senelių namų finansavimas</t>
  </si>
  <si>
    <t>Būsto pritaikymas neįgaliesiems</t>
  </si>
  <si>
    <t>Ameninės pagalbos paslaugos finansavimas</t>
  </si>
  <si>
    <t>Socialinė parama mokiniams</t>
  </si>
  <si>
    <t>Socialinės paramos mokiniams administravimas</t>
  </si>
  <si>
    <t>Socialinė parama mokiniams (nemokamas maitinimas vaikams, turintiems neįgalumą)</t>
  </si>
  <si>
    <t>Asmenų su sunkia negalia socialinė globa</t>
  </si>
  <si>
    <t>Kompensacijos už šildymą ir vandenį</t>
  </si>
  <si>
    <t>Finansinė parama atvykstantiems gydytojams ir rezidentams</t>
  </si>
  <si>
    <t>Finansinė parama daugiavaikėms šeimoms ir globėjams</t>
  </si>
  <si>
    <t>Katalėjos šeimynos finansavimas</t>
  </si>
  <si>
    <t>Mirusių asmenų palaikų ekspertiniams tyrimams nuvežimo išlaidoms</t>
  </si>
  <si>
    <t>Akredituotų ir licenzijuotų paslaugų finansavimas</t>
  </si>
  <si>
    <t>Akredituotai vaikų dienos socialinei priežiūrai</t>
  </si>
  <si>
    <t>Akredituotai socialinei reabilitacijai neįgaliesiems bendruomenėje organizuoti, teikti ir administruoti</t>
  </si>
  <si>
    <t>Pagalbos pinigų ir kitų išmokų finansavimas</t>
  </si>
  <si>
    <t>Transporto paslaugų finansavimas neįgaliesiems</t>
  </si>
  <si>
    <t>Asmens higienos paslaugos kompensavimas</t>
  </si>
  <si>
    <t>Naujagimio kraitelis</t>
  </si>
  <si>
    <t xml:space="preserve">VšĮ Rokiškio pirminės asmens sveikatos  priežiūros centro  dalininko kapitalui didinti </t>
  </si>
  <si>
    <t xml:space="preserve">VšĮ Rokiškio rajono ligoninės  dalininko kapitalui didinti </t>
  </si>
  <si>
    <t>Lėšos teikiant socialinę paramą mokiniams pagal Lietuvos Respublikos paramos mokiniams įstatymą užsieniečiams, pasitraukusiems iš Ukrainos dėl Rusijos Federacijos  karinių veiksmų Ukrainoje, padengti</t>
  </si>
  <si>
    <t>Turto valdymo ir ūkio skyrius (iš viso)</t>
  </si>
  <si>
    <t>Nekilnojamo turto įregistravimas</t>
  </si>
  <si>
    <t>Viešosioms nemokamo vietinio reguliaraus susisiekimo paslaugoms organizuoti</t>
  </si>
  <si>
    <t>Nuostolingų maršrutų išlaidų kompensavimas</t>
  </si>
  <si>
    <t>Kompensacijos už liftų naudojimą</t>
  </si>
  <si>
    <t>Socialinių būstų remontui</t>
  </si>
  <si>
    <t>Nekilnojamo turto nuomos specialioji programa</t>
  </si>
  <si>
    <t>Būsto nuomos mokesčio daliai finansuoti</t>
  </si>
  <si>
    <t>Panemunėlio seniūnijoje Lietuvos pašto patalpoms išpirkti</t>
  </si>
  <si>
    <t>Statybos ir infrastruktūros plėtros skyrius iš viso</t>
  </si>
  <si>
    <t>Kapitalo investicijos ir ilgalaikio turto remontas</t>
  </si>
  <si>
    <t>Prisidėjimui prie projektų, finansuojamų  ES ir kitų fondų paramos, valstybės investicijų programos lėšų</t>
  </si>
  <si>
    <t>Individualių nuotekų valymo įrenginių įrengimo išlaidoms dalinai kompensuoti</t>
  </si>
  <si>
    <t>Daugiafunkcės salės Rokiškio m. Taikos g. 21A statybai (VIP)</t>
  </si>
  <si>
    <t>Dalyvaujamajam biudžetui</t>
  </si>
  <si>
    <t>Daugiabučių namų bendrijų rėmimo fondas</t>
  </si>
  <si>
    <t>Subsidijos gamintojams už šiluminę energiją</t>
  </si>
  <si>
    <t>Kelių  priežiūros programa</t>
  </si>
  <si>
    <t>Seniūnijų gatvių apšvietimo atnaujinimo programa</t>
  </si>
  <si>
    <t>Strateginio planavimo ir investicijų skyrius (iš viso)</t>
  </si>
  <si>
    <t>Europos ir kitų fondų projektams dalinai finansuoti</t>
  </si>
  <si>
    <t>Investiciniams projektams, galimybių studijoms ir kitiems dokumentams rengti</t>
  </si>
  <si>
    <t>Savivaldybės strateginio ilgalaikio plėtros plano ir kitų strateginių dokumentų rengimo paslaugos</t>
  </si>
  <si>
    <t>BC ,,Spiečius' administravimas</t>
  </si>
  <si>
    <t>Architektūros ir  paveldosaugos skyrius  (iš viso)</t>
  </si>
  <si>
    <t>Nekilnojamojo  kultūros paveldo pažinimo sklaidos ir atgaivinimo programa</t>
  </si>
  <si>
    <t>Laisvės kovų įamžinimo komisijos veiklos programa</t>
  </si>
  <si>
    <t>Žemės sklypų kadastrinių matavimų atlikimas ir kitos paslaugos</t>
  </si>
  <si>
    <t>Rokiškio rajono teritorijos ir Rokiškio miesto teritorijos bendrųjų ir detaliųjų planų parengimas</t>
  </si>
  <si>
    <t>Religinių bendruomenių rėmimo programa</t>
  </si>
  <si>
    <t>Beglobių gyvūnų priežiūra</t>
  </si>
  <si>
    <t>PRACT už atliekų tvarkymą</t>
  </si>
  <si>
    <t>Aplinkos apsaugos rėmimo specialioji programa</t>
  </si>
  <si>
    <t>Nevyriausybinių organizacijų projektų finansavimas</t>
  </si>
  <si>
    <t>iš jų: Obelių bendruomenės projektui ,,Obelių ežero pakrantės sutvarkymas"</t>
  </si>
  <si>
    <t xml:space="preserve">        Velykalnio bendruomenės Lašo g. teritorijos sutvarkymo projektui</t>
  </si>
  <si>
    <t xml:space="preserve">        Kairelių bendruomenės centro aplinkos sutvarkymo Gediškių kaime projektui</t>
  </si>
  <si>
    <t>Finansų skyrius (iš viso)</t>
  </si>
  <si>
    <t>Dotacijos grąžinimas</t>
  </si>
  <si>
    <t>Lėšų grąžinimas pagal Neįgaliųjų reikalų departamento patikros išvadą</t>
  </si>
  <si>
    <t>Paskolų aptarnavimo išlaidos (palūkanos)</t>
  </si>
  <si>
    <t>Paskolų grąžinimas</t>
  </si>
  <si>
    <t>Žemės ūkio skyrius (iš viso)</t>
  </si>
  <si>
    <t>Melioracijos programa</t>
  </si>
  <si>
    <t>Kaimo programa</t>
  </si>
  <si>
    <t>Gyvenviečių gruntinio vandens nutekėjimo avarinei būklei likviduoti</t>
  </si>
  <si>
    <t>Melioracijos statinių techninei būklei įvertinti</t>
  </si>
  <si>
    <t>Švietimo ir sporto skyrius (iš viso)</t>
  </si>
  <si>
    <t>Vaikų ir jaunimo socializacijos programa</t>
  </si>
  <si>
    <t>Nusikalstamų veikų prevencijos ir kontrolės programa</t>
  </si>
  <si>
    <t>Mokymosi pasiekimų patikrinimams organizuoti ir vykdyti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</si>
  <si>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</si>
  <si>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</si>
  <si>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</si>
  <si>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</si>
  <si>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Darželiams, mokykloms (įrangai įsigyti, higienos reikalavimams vykdyti)</t>
  </si>
  <si>
    <t>Mokyklinių autobusų remontui</t>
  </si>
  <si>
    <t>Kompiuterinėms technologijoms atnaujinti</t>
  </si>
  <si>
    <t>Lauko aikštelėms ikimokyklinėse įstaigose atnaujinti ir darbo vietoms įvertinti</t>
  </si>
  <si>
    <t>Pedagoginė grupė</t>
  </si>
  <si>
    <t>Finansinė parama atvykstantiems pedagogams</t>
  </si>
  <si>
    <t>Sporto nevyriausybinių renginių finansavimas</t>
  </si>
  <si>
    <t>Rajono reprezentacinių sporto renginių programa</t>
  </si>
  <si>
    <t>Talentingų žmonių rėmimo programa</t>
  </si>
  <si>
    <t>Jaunimo politikos įgyvendinimo programa</t>
  </si>
  <si>
    <t>Pirmoko krepšelis</t>
  </si>
  <si>
    <t>Prisidėti prie projektų, finansuojamų  ES ir kitų fondų paramos, valstybės investicijų programos lėšų</t>
  </si>
  <si>
    <t>Komunikacijos ir kultūros skyrius (iš viso)</t>
  </si>
  <si>
    <t>Tarptautinis bendradarbiavimas</t>
  </si>
  <si>
    <t>Rajono renginių finansavimas</t>
  </si>
  <si>
    <t>Leidybos ir komunikacijos priemonių finansavimas</t>
  </si>
  <si>
    <t>Etninės kultūros, istorijos ir tautinės atminties išsaugojimo veiklų finansavimas ir organizavimas</t>
  </si>
  <si>
    <t>Kaimo kultūrinės veiklos finansavimas</t>
  </si>
  <si>
    <t>Kultūrinės veiklos sklaidos ir kokybės gerinimo finansavimas</t>
  </si>
  <si>
    <t>Turizmo ir verslo plėtros programa</t>
  </si>
  <si>
    <t>Programinės įrangos nuoma ir kibernetinio saugumo auditas</t>
  </si>
  <si>
    <t>Priešgaisrinė tarnyba</t>
  </si>
  <si>
    <t>Kultūros centras</t>
  </si>
  <si>
    <t>Krašto muziejus</t>
  </si>
  <si>
    <t>Juozo Keliuočio viešoji biblioteka</t>
  </si>
  <si>
    <t xml:space="preserve">Kūno kultūros ir sporto centras  </t>
  </si>
  <si>
    <t>Socialinės paramos centras</t>
  </si>
  <si>
    <t>Visuomenės sveikatos biuras</t>
  </si>
  <si>
    <t>Rokiškio baseinas</t>
  </si>
  <si>
    <t>Obelių  socialinių paslaugų namai</t>
  </si>
  <si>
    <t>Turizmo informacijos centras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</si>
  <si>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</si>
  <si>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</si>
  <si>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</si>
  <si>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</si>
  <si>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</si>
  <si>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</si>
  <si>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 xml:space="preserve">Pandėlio seniūnija                     </t>
  </si>
  <si>
    <t>Panemunėlio seniūnija</t>
  </si>
  <si>
    <t>Rokiškio kaimiškoji seniūnija</t>
  </si>
  <si>
    <t>Rokiškio miesto seniūnija</t>
  </si>
  <si>
    <t>IŠ VISO SKYRIŲ IR ĮSTAIGŲ: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</si>
  <si>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</si>
  <si>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</si>
  <si>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</si>
  <si>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</si>
  <si>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</si>
  <si>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</si>
  <si>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Senamiesčio progimnazija</t>
  </si>
  <si>
    <t>Senamiesčio progimn. Laibgalių ikimok. ir priešm. ugymo sk.</t>
  </si>
  <si>
    <t>Juozo Tumo-Vaižganto gimnazija</t>
  </si>
  <si>
    <t>Juozo Tumo-Vaižganto gimn. suaugusiųjų ir jaunimo sk.</t>
  </si>
  <si>
    <t>Juozo Tumo-Vaižganto gimn. VšĮ Rokiškio psichiatrijos ligoninės mokymo sk.</t>
  </si>
  <si>
    <t>Juozo Tūbelio progimnazija</t>
  </si>
  <si>
    <t>Juodupės gimnazija</t>
  </si>
  <si>
    <t>Juodupės gimn. neformaliojo švietimo sk.</t>
  </si>
  <si>
    <t>Kamajų Antano Strazdo gimnazija</t>
  </si>
  <si>
    <t>Kamajų Antano Strazdo gimn. Jūžintų sk.</t>
  </si>
  <si>
    <t>Kamajų Antano Strazdo gimn. ikimokykl. ugd. sk.</t>
  </si>
  <si>
    <t>Kamajų gimn. neformaliojo švietimo sk.</t>
  </si>
  <si>
    <t>Obelių gimnazija</t>
  </si>
  <si>
    <t>Obelių ikimok. ir priešmok. ugdymo sk.</t>
  </si>
  <si>
    <t>Obelių gimn. neformaliojo švietimo sk.</t>
  </si>
  <si>
    <t xml:space="preserve">Pandėlio gimnazija </t>
  </si>
  <si>
    <t>Rokiškio pagrindinė mokykla</t>
  </si>
  <si>
    <t>Rudolfo Lymano muzikos mokykla</t>
  </si>
  <si>
    <t>Muzikos mokyklos choreografijos sk.</t>
  </si>
  <si>
    <t>Jaunimo centras</t>
  </si>
  <si>
    <t>Švietimo centras</t>
  </si>
  <si>
    <t>Švietimo centro pedagoginė psichologinė tarnyba</t>
  </si>
  <si>
    <t>Pedagoginė psichologinė tarnyba</t>
  </si>
  <si>
    <t>Pandėlio universalus daugiafunkcis centras</t>
  </si>
  <si>
    <t>Panemunėlio universalus daugiafunkcis centras</t>
  </si>
  <si>
    <t>IŠ VISO ŠVIETIMO ĮSTAIGŲ:</t>
  </si>
  <si>
    <t>IŠ VISO:</t>
  </si>
  <si>
    <t>Įvykdymas</t>
  </si>
  <si>
    <t>Patikslintas planas</t>
  </si>
  <si>
    <t>Eil. Nr.</t>
  </si>
  <si>
    <t>SAVIVALDYBĖS FUNKCIJŲ ĮGYVENDINIMAS IR VALDYMAS (01)</t>
  </si>
  <si>
    <t>Savivaldybės administracija</t>
  </si>
  <si>
    <t>Europos  Sąjungos finansinės paramos lėšos projektams finansuoti</t>
  </si>
  <si>
    <t>Kontrolės ir audito tarnyba</t>
  </si>
  <si>
    <t>Socialinės paramos ir sveikatos skyrius</t>
  </si>
  <si>
    <t>Turto valdymo ir ūkio skyrius</t>
  </si>
  <si>
    <t>Nekilnojamojo turto įregistravimas</t>
  </si>
  <si>
    <t>Nekilnojamojo turto nuomos specialioji programa</t>
  </si>
  <si>
    <t xml:space="preserve">Strateginio planavimo ir investicijų   skyrius </t>
  </si>
  <si>
    <t>Investiciniams projektams,galimybių studijoms ir kitiems dokumentams rengti</t>
  </si>
  <si>
    <t>Architektūros ir paveldosaugos skyrius</t>
  </si>
  <si>
    <t>Laisvės kovų įamžinimo komisijos veikla</t>
  </si>
  <si>
    <t>Komunikacijos ir kultūros skyrius iš viso</t>
  </si>
  <si>
    <t xml:space="preserve">Finansų skyrius </t>
  </si>
  <si>
    <t>Pandėlio seniūnija</t>
  </si>
  <si>
    <t>UGDYMO KOKYBĖS IR MOKYMOSI APLINKOS UŽTIKRINIMAS (02)</t>
  </si>
  <si>
    <t>Švietimo ir sporto skyrius</t>
  </si>
  <si>
    <t>Maisto atliekoms utilizuoti</t>
  </si>
  <si>
    <t>Darželiams, mokykloms - įrangai įsigyti, higienos reikalavimams vykdyti</t>
  </si>
  <si>
    <t>Kompiuterinių technologijoms atnaujinti</t>
  </si>
  <si>
    <t>Lėšos išlaidoms , susijusioms su mokyklų mokytojų, dirbančių pagal ikimokyklinio, priešmokyklinio, bendrojo  ugdymo ir profesinio mokymo programas, personalo optimizavimui ir atnaujinimui, apmokėti</t>
  </si>
  <si>
    <t>Senamiesčio prog. Laibgalių ikimok. ir priešm.ugymo sk.</t>
  </si>
  <si>
    <t>J.Tumo-Vaižganto gimn. suaugusiųjų ir jaunimo sk.</t>
  </si>
  <si>
    <t>J.Tumo-Vaižganto gimn.VŠĮ Rokiškio psich.ligoninės mokymo sk.</t>
  </si>
  <si>
    <t>Juodupės gimn.neformaliojo švietimo sk.</t>
  </si>
  <si>
    <t>Kamajų A.Strazdo gimnazija</t>
  </si>
  <si>
    <t>Kamajų A.Strazdo gimnazijos Jūžintų sk.</t>
  </si>
  <si>
    <t>Kamajų A.Strazdo gim. ikimokyklinio ug.sk.</t>
  </si>
  <si>
    <t>Obelių ikimok.ir priešmok.ugdymo sk.</t>
  </si>
  <si>
    <t>Obelių gimnaz. neformaliojo švietimo sk.</t>
  </si>
  <si>
    <t>Kūno kultūros ir sporto centras</t>
  </si>
  <si>
    <t>KULTŪROS, SPPORTO, BENDRUOMENĖS IR VAIKŲ IR JAUNIMO GYVENIMO AKTYVINIMO PROGRAMA (03)</t>
  </si>
  <si>
    <t xml:space="preserve">Švietimo ir sporto skyrius </t>
  </si>
  <si>
    <t>Nevyriausybinių organizac. projektų finansavimas</t>
  </si>
  <si>
    <t>Architektūros ir  paveldosaugos skyrius  iš viso</t>
  </si>
  <si>
    <t xml:space="preserve">SOCIALINĖS PARAMOS IR SVEIKATOS APSAUGOS PASLAUGŲ KOKYBĖS GERINIMAS (04)                 </t>
  </si>
  <si>
    <t xml:space="preserve">Socialinės paramos ir sveikatos skyrius </t>
  </si>
  <si>
    <t>Socialinė parama mokiniams - nemokamas maitinimas vaikams,turintiems neįgalumą</t>
  </si>
  <si>
    <t>Lėšos teikiant socialinę paramą mokiniams pagal Lietuvos Respublikos paramos mokiniams įstatymą užsieniečiams, pasitraukusiems iš Ukrainos  dėl Rusijos Federacijos  karinių veiksmų Ukrainoje, padengti</t>
  </si>
  <si>
    <t>Darbo politikos formavavimas ir įgyvendinimas</t>
  </si>
  <si>
    <t>RAJONO INFRASTRUKTŪROS OBJEKTŲ PRIEŽIŪRA, PLĖTRA IR MODERNIZAVIMAS (05)</t>
  </si>
  <si>
    <t>Statybos ir  infrastruktūros plėtros skyrius</t>
  </si>
  <si>
    <t>Daugiafunkcinės salės Rokiškio m. Taikos g. 21A statybai (VIP)</t>
  </si>
  <si>
    <t xml:space="preserve">Architektūros ir paveldosaugos skyrius </t>
  </si>
  <si>
    <t>KAIMO PLĖTROS, APLINKOS APSAUGOS IR VERSLO SKATINIMAS (06)</t>
  </si>
  <si>
    <t xml:space="preserve">Žemės ūkio skyrius </t>
  </si>
  <si>
    <t>PRATC už atliekų tvarkymą</t>
  </si>
  <si>
    <t>Nuostolingų maršrutų išlaidoms kompensuoti</t>
  </si>
  <si>
    <t>BC ,,Spiečius" administravimas</t>
  </si>
  <si>
    <t xml:space="preserve">                                                         IŠ VISO:</t>
  </si>
  <si>
    <t>ROKIŠKIO RAJONO SAVIVALDYBĖS 2023 METŲ BIUDŽETO IŠLAIDŲ PLANO ĮVYYKDYMAS PAGAL ASIGNAVIMŲ VALDYTOJUS</t>
  </si>
  <si>
    <t>ROKIŠKIO RAJONO SAVIVALDYBĖS 2023 METŲ BIUDŽETO IŠLAIDŲ PLANO ĮVYYKDYMAS PAGAL PROGRAMAS</t>
  </si>
  <si>
    <t>Eil.   Nr.</t>
  </si>
  <si>
    <t>Asignavimų valdytojo pavadinimas</t>
  </si>
  <si>
    <t xml:space="preserve">biudžetinių įstaigų pajamos už teikiamas paslaugas </t>
  </si>
  <si>
    <t xml:space="preserve"> aplinkos apsaugos rėmimo specialioji programa</t>
  </si>
  <si>
    <t>laisvas lėšų likutis</t>
  </si>
  <si>
    <t>Programa</t>
  </si>
  <si>
    <t xml:space="preserve">Turto valdymo ir ūkio skyrius </t>
  </si>
  <si>
    <t>Obelių socialinių paslaugų namai</t>
  </si>
  <si>
    <t xml:space="preserve">Baseinas   </t>
  </si>
  <si>
    <t>M.-d. ,,Ąžuoliukas" Kavoliškio sk.</t>
  </si>
  <si>
    <t>Juodupės gimnazijos neformaliojo švietimo skyrius</t>
  </si>
  <si>
    <t>Kamajų Antano Strazdo gimn. ikimok. ugd. sk.</t>
  </si>
  <si>
    <t>Kamajų Antano Strazdo gimn. neformaliojo švietimo skyrius</t>
  </si>
  <si>
    <t>Obelių gimnazijos neformaliojo švietimo skyrius</t>
  </si>
  <si>
    <t>Pandėlio gimnazija</t>
  </si>
  <si>
    <t xml:space="preserve">Panemunėlio mokykla-daugiafunkcis centras </t>
  </si>
  <si>
    <t>Architektūros ir paveldosaugos skyrius- aplinkos apsaugos rėmimo spec. programa</t>
  </si>
  <si>
    <t>Finansų skyrius iš viso</t>
  </si>
  <si>
    <t xml:space="preserve"> iš jų: paskolų aptarnavimo išlaidos (palūkanos)</t>
  </si>
  <si>
    <t xml:space="preserve">        paskolų grąžinimas</t>
  </si>
  <si>
    <t>Turto valdymo ir ūkio skyrius  iš viso</t>
  </si>
  <si>
    <t xml:space="preserve"> iš jų: viešosioms nemokamo vietinio reguliaraus susisiekimo paslaugoms organizuoti</t>
  </si>
  <si>
    <t>Švietimo ir sporto skyrius iš viso</t>
  </si>
  <si>
    <t>iš jų: prisidėjimui prie projektų, finansuojamų  ES ir kitų fondų paramos, valstybės investicijų programos lėšų</t>
  </si>
  <si>
    <t>Statybos ir infrastruktūros plėtros skyrius  iš viso</t>
  </si>
  <si>
    <t xml:space="preserve">       kapitalo investicijos ir ilgalaikio turto remontas</t>
  </si>
  <si>
    <t xml:space="preserve">  IŠ VISO</t>
  </si>
  <si>
    <t>SKOLINTOS LĖŠOS</t>
  </si>
  <si>
    <t xml:space="preserve">    Asignavimų valdytojas</t>
  </si>
  <si>
    <t xml:space="preserve">Programa </t>
  </si>
  <si>
    <t>1.</t>
  </si>
  <si>
    <t>Statybos ir infrastruktūros plėtros skyrius</t>
  </si>
  <si>
    <t xml:space="preserve">  ROKIŠKIO RAJONO SAVIVALDYBĖS 2023 METŲ BIUDŽETO PAJAMŲ VYKDYMAS</t>
  </si>
  <si>
    <t>Patikslintas Planas</t>
  </si>
  <si>
    <t>Kitos dotacijos einamiesiems tikslams (21+...+41)</t>
  </si>
  <si>
    <t>DOTACIJOS (12+15+20+42)</t>
  </si>
  <si>
    <t>Kitos dotacijos turtui įsigyti (43+...+53)</t>
  </si>
  <si>
    <t>KITOS PAJAMOS (55+60+ 61+64+65)</t>
  </si>
  <si>
    <t>Turto pajamos (56+..+ 59)</t>
  </si>
  <si>
    <t>Rinkliavos(62+63)</t>
  </si>
  <si>
    <t>VISI MOKESČIAI, PAJAMOS IR DOTACIJOS(1+11+54+66)</t>
  </si>
  <si>
    <r>
      <t xml:space="preserve">SF* - </t>
    </r>
    <r>
      <rPr>
        <sz val="12"/>
        <rFont val="Times New Roman"/>
        <family val="1"/>
        <charset val="186"/>
      </rPr>
      <t>savarankiška funkcija</t>
    </r>
  </si>
  <si>
    <r>
      <t>VF*</t>
    </r>
    <r>
      <rPr>
        <sz val="12"/>
        <rFont val="Times New Roman"/>
        <family val="1"/>
        <charset val="186"/>
      </rPr>
      <t xml:space="preserve"> - valstybės biudžeto tikslinės lėšos</t>
    </r>
  </si>
  <si>
    <r>
      <t xml:space="preserve">ML* - </t>
    </r>
    <r>
      <rPr>
        <sz val="12"/>
        <rFont val="Times New Roman"/>
        <family val="1"/>
        <charset val="186"/>
      </rPr>
      <t>mokymo lėšos</t>
    </r>
  </si>
  <si>
    <r>
      <t xml:space="preserve">SP PR* - </t>
    </r>
    <r>
      <rPr>
        <sz val="12"/>
        <rFont val="Times New Roman"/>
        <family val="1"/>
        <charset val="186"/>
      </rPr>
      <t>specialioji programa</t>
    </r>
  </si>
  <si>
    <r>
      <t xml:space="preserve">ES FP*- </t>
    </r>
    <r>
      <rPr>
        <sz val="12"/>
        <rFont val="Times New Roman"/>
        <family val="1"/>
        <charset val="186"/>
      </rPr>
      <t>Europos Sąjungos finansinė parama</t>
    </r>
  </si>
  <si>
    <t>tūkst.Eur</t>
  </si>
  <si>
    <t xml:space="preserve">ROKIŠKIO RAJONO SAVIVALDYBĖS  ASIGNAVIMAI IŠ APYVARTOS LĖŠŲ </t>
  </si>
  <si>
    <t xml:space="preserve">        (LĖŠŲ LIKUTIS 2022 M. GRUODŽIO 31 D.) IR SKOLINTŲ LĖŠŲ</t>
  </si>
  <si>
    <t xml:space="preserve">                                                                             Rokiškio rajono savivaldybės  tarybos</t>
  </si>
  <si>
    <t xml:space="preserve">                2 priedas</t>
  </si>
  <si>
    <t xml:space="preserve">                                                                       2024m. gegužės 30 d. sprendimo Nr. TS-185</t>
  </si>
  <si>
    <t xml:space="preserve">                                       VYKDYMO  ATASKAITŲ RINKINYS</t>
  </si>
  <si>
    <t xml:space="preserve">ROKIŠKIO RAJONO SAVIVALDYBĖS 2023 METŲ BIUDŽETO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</si>
</sst>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0.000"/>
    <numFmt numFmtId="168" formatCode="0.000000"/>
    <numFmt numFmtId="169" formatCode="_-* #,##0.00000_-;\-* #,##0.00000_-;_-* &quot;-&quot;??_-;_-@_-"/>
  </numFmts>
  <fonts count="21" x14ac:knownFonts="1">
    <font>
      <sz val="11"/>
      <color theme="1"/>
      <name val="Aptos Narrow"/>
      <family val="2"/>
      <charset val="186"/>
      <scheme val="minor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i/>
      <sz val="10"/>
      <name val="Arial"/>
      <family val="2"/>
      <charset val="186"/>
    </font>
    <font>
      <i/>
      <sz val="10"/>
      <color theme="1"/>
      <name val="Arial"/>
      <family val="2"/>
      <charset val="186"/>
    </font>
    <font>
      <sz val="11"/>
      <name val="Times New Roman"/>
      <family val="1"/>
      <charset val="186"/>
    </font>
    <font>
      <sz val="9"/>
      <name val="Arial"/>
      <family val="2"/>
      <charset val="186"/>
    </font>
    <font>
      <b/>
      <i/>
      <sz val="12"/>
      <name val="Times New Roman"/>
      <family val="1"/>
      <charset val="186"/>
    </font>
    <font>
      <sz val="11"/>
      <name val="Aptos Narrow"/>
      <family val="2"/>
      <charset val="186"/>
      <scheme val="minor"/>
    </font>
    <font>
      <sz val="12"/>
      <name val="Aptos Narrow"/>
      <family val="2"/>
      <charset val="186"/>
      <scheme val="minor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i/>
      <sz val="12"/>
      <name val="Arial"/>
      <family val="2"/>
      <charset val="186"/>
    </font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medium">
        <color indexed="64"/>
      </left>
      <right style="thin">
        <color indexed="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43" fontId="18" fillId="0" borderId="0" applyFont="0" applyFill="0" applyBorder="0" applyAlignment="0" applyProtection="0"/>
  </cellStyleXfs>
  <cellXfs count="5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14" fontId="3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167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wrapText="1"/>
    </xf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7" fontId="4" fillId="0" borderId="1" xfId="0" applyNumberFormat="1" applyFont="1" applyBorder="1" applyAlignment="1">
      <alignment horizontal="right" vertical="top" wrapText="1"/>
    </xf>
    <xf numFmtId="165" fontId="3" fillId="0" borderId="1" xfId="1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wrapText="1"/>
    </xf>
    <xf numFmtId="168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horizontal="right"/>
    </xf>
    <xf numFmtId="0" fontId="1" fillId="0" borderId="1" xfId="0" applyFont="1" applyBorder="1"/>
    <xf numFmtId="168" fontId="1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0" fontId="3" fillId="0" borderId="3" xfId="0" applyFont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5" fillId="0" borderId="10" xfId="2" applyBorder="1" applyAlignment="1">
      <alignment horizontal="center" vertical="top" wrapText="1"/>
    </xf>
    <xf numFmtId="0" fontId="5" fillId="0" borderId="11" xfId="2" applyBorder="1" applyAlignment="1">
      <alignment horizontal="center" vertical="top" wrapText="1"/>
    </xf>
    <xf numFmtId="0" fontId="5" fillId="0" borderId="18" xfId="0" applyFont="1" applyBorder="1" applyAlignment="1">
      <alignment horizontal="right" vertical="top" wrapText="1"/>
    </xf>
    <xf numFmtId="165" fontId="7" fillId="0" borderId="20" xfId="0" applyNumberFormat="1" applyFont="1" applyBorder="1" applyAlignment="1">
      <alignment vertical="top"/>
    </xf>
    <xf numFmtId="165" fontId="5" fillId="0" borderId="20" xfId="0" applyNumberFormat="1" applyFont="1" applyBorder="1" applyAlignment="1">
      <alignment vertical="top"/>
    </xf>
    <xf numFmtId="0" fontId="6" fillId="0" borderId="18" xfId="0" applyFont="1" applyBorder="1" applyAlignment="1">
      <alignment horizontal="right" vertical="top" wrapText="1"/>
    </xf>
    <xf numFmtId="0" fontId="6" fillId="0" borderId="19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165" fontId="5" fillId="0" borderId="21" xfId="0" applyNumberFormat="1" applyFont="1" applyBorder="1" applyAlignment="1">
      <alignment vertical="top"/>
    </xf>
    <xf numFmtId="0" fontId="6" fillId="0" borderId="32" xfId="0" applyFont="1" applyBorder="1" applyAlignment="1">
      <alignment vertical="top"/>
    </xf>
    <xf numFmtId="0" fontId="6" fillId="0" borderId="29" xfId="0" applyFont="1" applyBorder="1" applyAlignment="1">
      <alignment vertical="top" wrapText="1"/>
    </xf>
    <xf numFmtId="0" fontId="6" fillId="0" borderId="39" xfId="0" applyFont="1" applyBorder="1" applyAlignment="1">
      <alignment horizontal="right" vertical="top" wrapText="1"/>
    </xf>
    <xf numFmtId="0" fontId="6" fillId="0" borderId="32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wrapText="1"/>
    </xf>
    <xf numFmtId="165" fontId="6" fillId="0" borderId="44" xfId="0" applyNumberFormat="1" applyFont="1" applyBorder="1"/>
    <xf numFmtId="165" fontId="6" fillId="0" borderId="46" xfId="0" applyNumberFormat="1" applyFont="1" applyBorder="1"/>
    <xf numFmtId="0" fontId="6" fillId="0" borderId="28" xfId="0" applyFont="1" applyBorder="1" applyAlignment="1">
      <alignment vertical="top"/>
    </xf>
    <xf numFmtId="0" fontId="6" fillId="0" borderId="49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top"/>
    </xf>
    <xf numFmtId="0" fontId="8" fillId="0" borderId="29" xfId="0" applyFont="1" applyBorder="1"/>
    <xf numFmtId="0" fontId="6" fillId="0" borderId="58" xfId="0" applyFont="1" applyBorder="1"/>
    <xf numFmtId="165" fontId="6" fillId="0" borderId="50" xfId="0" applyNumberFormat="1" applyFont="1" applyBorder="1"/>
    <xf numFmtId="165" fontId="6" fillId="0" borderId="59" xfId="0" applyNumberFormat="1" applyFont="1" applyBorder="1"/>
    <xf numFmtId="165" fontId="6" fillId="0" borderId="20" xfId="0" applyNumberFormat="1" applyFont="1" applyBorder="1"/>
    <xf numFmtId="0" fontId="8" fillId="0" borderId="29" xfId="0" applyFont="1" applyBorder="1" applyAlignment="1">
      <alignment horizontal="left" vertical="center" wrapText="1"/>
    </xf>
    <xf numFmtId="165" fontId="5" fillId="0" borderId="20" xfId="0" applyNumberFormat="1" applyFont="1" applyBorder="1"/>
    <xf numFmtId="0" fontId="8" fillId="0" borderId="19" xfId="0" applyFont="1" applyBorder="1" applyAlignment="1">
      <alignment wrapText="1"/>
    </xf>
    <xf numFmtId="0" fontId="6" fillId="0" borderId="29" xfId="0" applyFont="1" applyBorder="1"/>
    <xf numFmtId="0" fontId="8" fillId="0" borderId="29" xfId="0" applyFont="1" applyBorder="1" applyAlignment="1">
      <alignment vertical="top" wrapText="1"/>
    </xf>
    <xf numFmtId="0" fontId="8" fillId="0" borderId="29" xfId="0" applyFont="1" applyBorder="1" applyAlignment="1">
      <alignment wrapText="1"/>
    </xf>
    <xf numFmtId="0" fontId="8" fillId="0" borderId="67" xfId="0" applyFont="1" applyBorder="1"/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wrapText="1"/>
    </xf>
    <xf numFmtId="165" fontId="5" fillId="0" borderId="43" xfId="0" applyNumberFormat="1" applyFont="1" applyBorder="1"/>
    <xf numFmtId="0" fontId="6" fillId="0" borderId="43" xfId="0" applyFont="1" applyBorder="1" applyAlignment="1">
      <alignment vertical="top"/>
    </xf>
    <xf numFmtId="0" fontId="6" fillId="0" borderId="72" xfId="0" applyFont="1" applyBorder="1"/>
    <xf numFmtId="0" fontId="6" fillId="0" borderId="78" xfId="0" applyFont="1" applyBorder="1" applyAlignment="1">
      <alignment wrapText="1"/>
    </xf>
    <xf numFmtId="165" fontId="6" fillId="0" borderId="33" xfId="0" applyNumberFormat="1" applyFont="1" applyBorder="1"/>
    <xf numFmtId="165" fontId="6" fillId="0" borderId="34" xfId="0" applyNumberFormat="1" applyFont="1" applyBorder="1"/>
    <xf numFmtId="165" fontId="6" fillId="0" borderId="80" xfId="0" applyNumberFormat="1" applyFont="1" applyBorder="1"/>
    <xf numFmtId="0" fontId="6" fillId="0" borderId="28" xfId="0" applyFont="1" applyBorder="1"/>
    <xf numFmtId="165" fontId="6" fillId="0" borderId="85" xfId="0" applyNumberFormat="1" applyFont="1" applyBorder="1"/>
    <xf numFmtId="165" fontId="6" fillId="0" borderId="55" xfId="0" applyNumberFormat="1" applyFont="1" applyBorder="1"/>
    <xf numFmtId="0" fontId="8" fillId="0" borderId="59" xfId="0" applyFont="1" applyBorder="1" applyAlignment="1">
      <alignment wrapText="1"/>
    </xf>
    <xf numFmtId="0" fontId="8" fillId="0" borderId="59" xfId="0" applyFont="1" applyBorder="1"/>
    <xf numFmtId="165" fontId="5" fillId="0" borderId="24" xfId="0" applyNumberFormat="1" applyFont="1" applyBorder="1"/>
    <xf numFmtId="165" fontId="5" fillId="0" borderId="57" xfId="0" applyNumberFormat="1" applyFont="1" applyBorder="1"/>
    <xf numFmtId="0" fontId="8" fillId="0" borderId="18" xfId="0" applyFont="1" applyBorder="1" applyAlignment="1">
      <alignment wrapText="1"/>
    </xf>
    <xf numFmtId="0" fontId="8" fillId="0" borderId="39" xfId="0" applyFont="1" applyBorder="1" applyAlignment="1">
      <alignment wrapText="1"/>
    </xf>
    <xf numFmtId="0" fontId="8" fillId="0" borderId="18" xfId="0" applyFont="1" applyBorder="1" applyAlignment="1">
      <alignment vertical="top" wrapText="1"/>
    </xf>
    <xf numFmtId="0" fontId="8" fillId="0" borderId="19" xfId="2" applyFont="1" applyBorder="1" applyAlignment="1">
      <alignment vertical="top" wrapText="1"/>
    </xf>
    <xf numFmtId="165" fontId="5" fillId="0" borderId="65" xfId="0" applyNumberFormat="1" applyFont="1" applyBorder="1"/>
    <xf numFmtId="0" fontId="6" fillId="0" borderId="59" xfId="0" applyFont="1" applyBorder="1"/>
    <xf numFmtId="165" fontId="6" fillId="0" borderId="2" xfId="0" applyNumberFormat="1" applyFont="1" applyBorder="1"/>
    <xf numFmtId="0" fontId="6" fillId="0" borderId="18" xfId="0" applyFont="1" applyBorder="1" applyAlignment="1">
      <alignment wrapText="1"/>
    </xf>
    <xf numFmtId="165" fontId="6" fillId="0" borderId="57" xfId="0" applyNumberFormat="1" applyFont="1" applyBorder="1"/>
    <xf numFmtId="165" fontId="6" fillId="0" borderId="61" xfId="0" applyNumberFormat="1" applyFont="1" applyBorder="1"/>
    <xf numFmtId="165" fontId="6" fillId="0" borderId="21" xfId="0" applyNumberFormat="1" applyFont="1" applyBorder="1"/>
    <xf numFmtId="165" fontId="6" fillId="0" borderId="65" xfId="0" applyNumberFormat="1" applyFont="1" applyBorder="1"/>
    <xf numFmtId="0" fontId="6" fillId="0" borderId="59" xfId="0" applyFont="1" applyBorder="1" applyAlignment="1">
      <alignment vertical="center"/>
    </xf>
    <xf numFmtId="165" fontId="5" fillId="0" borderId="23" xfId="0" applyNumberFormat="1" applyFont="1" applyBorder="1"/>
    <xf numFmtId="0" fontId="6" fillId="0" borderId="97" xfId="0" applyFont="1" applyBorder="1" applyAlignment="1">
      <alignment wrapText="1"/>
    </xf>
    <xf numFmtId="0" fontId="6" fillId="0" borderId="43" xfId="0" applyFont="1" applyBorder="1" applyAlignment="1">
      <alignment wrapText="1"/>
    </xf>
    <xf numFmtId="0" fontId="8" fillId="0" borderId="18" xfId="0" applyFont="1" applyBorder="1"/>
    <xf numFmtId="0" fontId="6" fillId="0" borderId="59" xfId="0" applyFont="1" applyBorder="1" applyAlignment="1">
      <alignment wrapText="1"/>
    </xf>
    <xf numFmtId="0" fontId="6" fillId="0" borderId="102" xfId="0" applyFont="1" applyBorder="1"/>
    <xf numFmtId="0" fontId="6" fillId="0" borderId="33" xfId="0" applyFont="1" applyBorder="1" applyAlignment="1">
      <alignment horizontal="left" vertical="center" wrapText="1"/>
    </xf>
    <xf numFmtId="165" fontId="6" fillId="0" borderId="35" xfId="0" applyNumberFormat="1" applyFont="1" applyBorder="1"/>
    <xf numFmtId="0" fontId="6" fillId="0" borderId="14" xfId="0" applyFont="1" applyBorder="1"/>
    <xf numFmtId="165" fontId="6" fillId="0" borderId="104" xfId="0" applyNumberFormat="1" applyFont="1" applyBorder="1"/>
    <xf numFmtId="165" fontId="6" fillId="0" borderId="13" xfId="0" applyNumberFormat="1" applyFont="1" applyBorder="1"/>
    <xf numFmtId="0" fontId="8" fillId="0" borderId="58" xfId="0" applyFont="1" applyBorder="1"/>
    <xf numFmtId="165" fontId="5" fillId="0" borderId="61" xfId="0" applyNumberFormat="1" applyFont="1" applyBorder="1"/>
    <xf numFmtId="0" fontId="8" fillId="0" borderId="2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6" fillId="0" borderId="67" xfId="0" applyFont="1" applyBorder="1"/>
    <xf numFmtId="165" fontId="6" fillId="0" borderId="89" xfId="0" applyNumberFormat="1" applyFont="1" applyBorder="1"/>
    <xf numFmtId="165" fontId="6" fillId="0" borderId="31" xfId="0" applyNumberFormat="1" applyFont="1" applyBorder="1"/>
    <xf numFmtId="0" fontId="6" fillId="0" borderId="32" xfId="0" applyFont="1" applyBorder="1" applyAlignment="1">
      <alignment wrapText="1"/>
    </xf>
    <xf numFmtId="165" fontId="6" fillId="0" borderId="113" xfId="0" applyNumberFormat="1" applyFont="1" applyBorder="1"/>
    <xf numFmtId="165" fontId="6" fillId="0" borderId="79" xfId="0" applyNumberFormat="1" applyFont="1" applyBorder="1"/>
    <xf numFmtId="0" fontId="6" fillId="0" borderId="52" xfId="0" applyFont="1" applyBorder="1"/>
    <xf numFmtId="165" fontId="6" fillId="0" borderId="93" xfId="0" applyNumberFormat="1" applyFont="1" applyBorder="1"/>
    <xf numFmtId="165" fontId="6" fillId="0" borderId="36" xfId="0" applyNumberFormat="1" applyFont="1" applyBorder="1"/>
    <xf numFmtId="0" fontId="8" fillId="0" borderId="116" xfId="0" applyFont="1" applyBorder="1"/>
    <xf numFmtId="0" fontId="8" fillId="0" borderId="43" xfId="2" applyFont="1" applyBorder="1" applyAlignment="1">
      <alignment vertical="top" wrapText="1"/>
    </xf>
    <xf numFmtId="0" fontId="8" fillId="0" borderId="28" xfId="0" applyFont="1" applyBorder="1"/>
    <xf numFmtId="0" fontId="5" fillId="0" borderId="43" xfId="0" applyFont="1" applyBorder="1" applyAlignment="1">
      <alignment vertical="top" wrapText="1"/>
    </xf>
    <xf numFmtId="0" fontId="6" fillId="0" borderId="116" xfId="0" applyFont="1" applyBorder="1"/>
    <xf numFmtId="0" fontId="6" fillId="0" borderId="119" xfId="0" applyFont="1" applyBorder="1"/>
    <xf numFmtId="0" fontId="6" fillId="0" borderId="33" xfId="0" applyFont="1" applyBorder="1" applyAlignment="1">
      <alignment wrapText="1"/>
    </xf>
    <xf numFmtId="0" fontId="6" fillId="0" borderId="49" xfId="0" applyFont="1" applyBorder="1" applyAlignment="1">
      <alignment vertical="top" wrapText="1"/>
    </xf>
    <xf numFmtId="0" fontId="9" fillId="0" borderId="19" xfId="0" applyFont="1" applyBorder="1" applyAlignment="1">
      <alignment wrapText="1"/>
    </xf>
    <xf numFmtId="0" fontId="5" fillId="0" borderId="43" xfId="0" applyFont="1" applyBorder="1" applyAlignment="1">
      <alignment vertical="top"/>
    </xf>
    <xf numFmtId="0" fontId="8" fillId="0" borderId="122" xfId="0" applyFont="1" applyBorder="1" applyAlignment="1">
      <alignment wrapText="1"/>
    </xf>
    <xf numFmtId="0" fontId="6" fillId="0" borderId="33" xfId="0" applyFont="1" applyBorder="1"/>
    <xf numFmtId="165" fontId="0" fillId="0" borderId="0" xfId="0" applyNumberFormat="1"/>
    <xf numFmtId="165" fontId="6" fillId="0" borderId="123" xfId="0" applyNumberFormat="1" applyFont="1" applyBorder="1"/>
    <xf numFmtId="165" fontId="5" fillId="0" borderId="21" xfId="2" applyNumberFormat="1" applyBorder="1" applyAlignment="1">
      <alignment horizontal="right" vertical="center" wrapText="1"/>
    </xf>
    <xf numFmtId="165" fontId="5" fillId="0" borderId="24" xfId="0" applyNumberFormat="1" applyFont="1" applyBorder="1" applyAlignment="1">
      <alignment vertical="top"/>
    </xf>
    <xf numFmtId="165" fontId="5" fillId="0" borderId="21" xfId="2" applyNumberFormat="1" applyBorder="1" applyAlignment="1">
      <alignment horizontal="right" vertical="top" wrapText="1"/>
    </xf>
    <xf numFmtId="165" fontId="5" fillId="0" borderId="20" xfId="2" applyNumberFormat="1" applyBorder="1" applyAlignment="1">
      <alignment horizontal="right" vertical="top" wrapText="1"/>
    </xf>
    <xf numFmtId="165" fontId="5" fillId="0" borderId="23" xfId="0" applyNumberFormat="1" applyFont="1" applyBorder="1" applyAlignment="1">
      <alignment vertical="top"/>
    </xf>
    <xf numFmtId="165" fontId="5" fillId="0" borderId="2" xfId="0" applyNumberFormat="1" applyFont="1" applyBorder="1" applyAlignment="1">
      <alignment vertical="top"/>
    </xf>
    <xf numFmtId="0" fontId="3" fillId="0" borderId="0" xfId="0" applyFont="1"/>
    <xf numFmtId="0" fontId="3" fillId="0" borderId="19" xfId="0" applyFont="1" applyBorder="1" applyAlignment="1">
      <alignment horizontal="left"/>
    </xf>
    <xf numFmtId="167" fontId="3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5" xfId="0" applyFont="1" applyBorder="1"/>
    <xf numFmtId="0" fontId="3" fillId="0" borderId="20" xfId="0" applyFont="1" applyBorder="1" applyAlignment="1">
      <alignment wrapText="1"/>
    </xf>
    <xf numFmtId="0" fontId="3" fillId="0" borderId="111" xfId="0" applyFont="1" applyBorder="1" applyAlignment="1">
      <alignment wrapText="1"/>
    </xf>
    <xf numFmtId="0" fontId="3" fillId="0" borderId="134" xfId="0" applyFont="1" applyBorder="1"/>
    <xf numFmtId="0" fontId="13" fillId="0" borderId="0" xfId="0" applyFont="1"/>
    <xf numFmtId="2" fontId="13" fillId="0" borderId="0" xfId="0" applyNumberFormat="1" applyFont="1"/>
    <xf numFmtId="166" fontId="13" fillId="0" borderId="0" xfId="0" applyNumberFormat="1" applyFont="1"/>
    <xf numFmtId="168" fontId="13" fillId="0" borderId="0" xfId="0" applyNumberFormat="1" applyFont="1"/>
    <xf numFmtId="2" fontId="3" fillId="0" borderId="127" xfId="0" applyNumberFormat="1" applyFont="1" applyBorder="1"/>
    <xf numFmtId="0" fontId="3" fillId="0" borderId="14" xfId="0" applyFont="1" applyBorder="1"/>
    <xf numFmtId="164" fontId="3" fillId="0" borderId="25" xfId="0" applyNumberFormat="1" applyFont="1" applyBorder="1"/>
    <xf numFmtId="0" fontId="3" fillId="0" borderId="132" xfId="0" applyFont="1" applyBorder="1"/>
    <xf numFmtId="165" fontId="6" fillId="0" borderId="45" xfId="0" applyNumberFormat="1" applyFont="1" applyBorder="1"/>
    <xf numFmtId="165" fontId="6" fillId="0" borderId="48" xfId="0" applyNumberFormat="1" applyFont="1" applyBorder="1"/>
    <xf numFmtId="165" fontId="6" fillId="0" borderId="42" xfId="0" applyNumberFormat="1" applyFont="1" applyBorder="1"/>
    <xf numFmtId="165" fontId="6" fillId="0" borderId="51" xfId="0" applyNumberFormat="1" applyFont="1" applyBorder="1"/>
    <xf numFmtId="165" fontId="6" fillId="0" borderId="52" xfId="0" applyNumberFormat="1" applyFont="1" applyBorder="1" applyAlignment="1">
      <alignment horizontal="right" vertical="center" wrapText="1"/>
    </xf>
    <xf numFmtId="165" fontId="6" fillId="0" borderId="53" xfId="0" applyNumberFormat="1" applyFont="1" applyBorder="1" applyAlignment="1">
      <alignment horizontal="right" vertical="center" wrapText="1"/>
    </xf>
    <xf numFmtId="165" fontId="6" fillId="0" borderId="54" xfId="0" applyNumberFormat="1" applyFont="1" applyBorder="1"/>
    <xf numFmtId="165" fontId="6" fillId="0" borderId="56" xfId="0" applyNumberFormat="1" applyFont="1" applyBorder="1"/>
    <xf numFmtId="165" fontId="5" fillId="0" borderId="36" xfId="0" applyNumberFormat="1" applyFont="1" applyBorder="1"/>
    <xf numFmtId="165" fontId="5" fillId="0" borderId="37" xfId="0" applyNumberFormat="1" applyFont="1" applyBorder="1"/>
    <xf numFmtId="165" fontId="5" fillId="0" borderId="20" xfId="2" applyNumberFormat="1" applyBorder="1" applyAlignment="1">
      <alignment horizontal="right" vertical="center" wrapText="1"/>
    </xf>
    <xf numFmtId="165" fontId="5" fillId="0" borderId="21" xfId="0" applyNumberFormat="1" applyFont="1" applyBorder="1"/>
    <xf numFmtId="165" fontId="6" fillId="0" borderId="60" xfId="0" applyNumberFormat="1" applyFont="1" applyBorder="1"/>
    <xf numFmtId="165" fontId="6" fillId="0" borderId="62" xfId="0" applyNumberFormat="1" applyFont="1" applyBorder="1"/>
    <xf numFmtId="165" fontId="6" fillId="0" borderId="24" xfId="0" applyNumberFormat="1" applyFont="1" applyBorder="1"/>
    <xf numFmtId="165" fontId="6" fillId="0" borderId="63" xfId="0" applyNumberFormat="1" applyFont="1" applyBorder="1"/>
    <xf numFmtId="165" fontId="6" fillId="0" borderId="23" xfId="0" applyNumberFormat="1" applyFont="1" applyBorder="1"/>
    <xf numFmtId="165" fontId="5" fillId="0" borderId="28" xfId="0" applyNumberFormat="1" applyFont="1" applyBorder="1"/>
    <xf numFmtId="165" fontId="5" fillId="0" borderId="64" xfId="0" applyNumberFormat="1" applyFont="1" applyBorder="1"/>
    <xf numFmtId="165" fontId="5" fillId="0" borderId="24" xfId="0" applyNumberFormat="1" applyFont="1" applyBorder="1" applyAlignment="1">
      <alignment horizontal="center"/>
    </xf>
    <xf numFmtId="165" fontId="5" fillId="0" borderId="59" xfId="0" applyNumberFormat="1" applyFont="1" applyBorder="1"/>
    <xf numFmtId="165" fontId="5" fillId="0" borderId="55" xfId="0" applyNumberFormat="1" applyFont="1" applyBorder="1"/>
    <xf numFmtId="165" fontId="5" fillId="0" borderId="62" xfId="0" applyNumberFormat="1" applyFont="1" applyBorder="1"/>
    <xf numFmtId="165" fontId="5" fillId="0" borderId="63" xfId="0" applyNumberFormat="1" applyFont="1" applyBorder="1"/>
    <xf numFmtId="165" fontId="5" fillId="0" borderId="60" xfId="0" applyNumberFormat="1" applyFont="1" applyBorder="1"/>
    <xf numFmtId="165" fontId="5" fillId="0" borderId="69" xfId="0" applyNumberFormat="1" applyFont="1" applyBorder="1"/>
    <xf numFmtId="165" fontId="5" fillId="0" borderId="70" xfId="0" applyNumberFormat="1" applyFont="1" applyBorder="1"/>
    <xf numFmtId="165" fontId="5" fillId="0" borderId="71" xfId="0" applyNumberFormat="1" applyFont="1" applyBorder="1"/>
    <xf numFmtId="165" fontId="6" fillId="0" borderId="73" xfId="0" applyNumberFormat="1" applyFont="1" applyBorder="1"/>
    <xf numFmtId="165" fontId="6" fillId="0" borderId="74" xfId="0" applyNumberFormat="1" applyFont="1" applyBorder="1"/>
    <xf numFmtId="165" fontId="6" fillId="0" borderId="75" xfId="0" applyNumberFormat="1" applyFont="1" applyBorder="1"/>
    <xf numFmtId="165" fontId="6" fillId="0" borderId="76" xfId="0" applyNumberFormat="1" applyFont="1" applyBorder="1"/>
    <xf numFmtId="165" fontId="6" fillId="0" borderId="77" xfId="0" applyNumberFormat="1" applyFont="1" applyBorder="1"/>
    <xf numFmtId="165" fontId="6" fillId="0" borderId="64" xfId="0" applyNumberFormat="1" applyFont="1" applyBorder="1"/>
    <xf numFmtId="165" fontId="6" fillId="0" borderId="68" xfId="0" applyNumberFormat="1" applyFont="1" applyBorder="1"/>
    <xf numFmtId="165" fontId="5" fillId="0" borderId="30" xfId="0" applyNumberFormat="1" applyFont="1" applyBorder="1"/>
    <xf numFmtId="165" fontId="5" fillId="0" borderId="12" xfId="0" applyNumberFormat="1" applyFont="1" applyBorder="1"/>
    <xf numFmtId="165" fontId="6" fillId="0" borderId="86" xfId="0" applyNumberFormat="1" applyFont="1" applyBorder="1"/>
    <xf numFmtId="165" fontId="6" fillId="0" borderId="87" xfId="0" applyNumberFormat="1" applyFont="1" applyBorder="1"/>
    <xf numFmtId="165" fontId="6" fillId="0" borderId="88" xfId="0" applyNumberFormat="1" applyFont="1" applyBorder="1"/>
    <xf numFmtId="165" fontId="5" fillId="0" borderId="86" xfId="0" applyNumberFormat="1" applyFont="1" applyBorder="1"/>
    <xf numFmtId="165" fontId="5" fillId="0" borderId="85" xfId="0" applyNumberFormat="1" applyFont="1" applyBorder="1"/>
    <xf numFmtId="165" fontId="5" fillId="0" borderId="89" xfId="0" applyNumberFormat="1" applyFont="1" applyBorder="1"/>
    <xf numFmtId="165" fontId="5" fillId="0" borderId="90" xfId="0" applyNumberFormat="1" applyFont="1" applyBorder="1"/>
    <xf numFmtId="165" fontId="5" fillId="0" borderId="91" xfId="0" applyNumberFormat="1" applyFont="1" applyBorder="1"/>
    <xf numFmtId="165" fontId="5" fillId="0" borderId="92" xfId="0" applyNumberFormat="1" applyFont="1" applyBorder="1"/>
    <xf numFmtId="165" fontId="5" fillId="0" borderId="31" xfId="0" applyNumberFormat="1" applyFont="1" applyBorder="1"/>
    <xf numFmtId="165" fontId="5" fillId="0" borderId="75" xfId="0" applyNumberFormat="1" applyFont="1" applyBorder="1"/>
    <xf numFmtId="165" fontId="5" fillId="0" borderId="68" xfId="0" applyNumberFormat="1" applyFont="1" applyBorder="1"/>
    <xf numFmtId="165" fontId="5" fillId="0" borderId="2" xfId="0" applyNumberFormat="1" applyFont="1" applyBorder="1"/>
    <xf numFmtId="165" fontId="5" fillId="0" borderId="93" xfId="0" applyNumberFormat="1" applyFont="1" applyBorder="1"/>
    <xf numFmtId="165" fontId="5" fillId="0" borderId="38" xfId="0" applyNumberFormat="1" applyFont="1" applyBorder="1"/>
    <xf numFmtId="165" fontId="5" fillId="0" borderId="22" xfId="0" applyNumberFormat="1" applyFont="1" applyBorder="1"/>
    <xf numFmtId="165" fontId="6" fillId="0" borderId="38" xfId="0" applyNumberFormat="1" applyFont="1" applyBorder="1"/>
    <xf numFmtId="165" fontId="6" fillId="0" borderId="37" xfId="0" applyNumberFormat="1" applyFont="1" applyBorder="1"/>
    <xf numFmtId="165" fontId="6" fillId="0" borderId="43" xfId="0" applyNumberFormat="1" applyFont="1" applyBorder="1"/>
    <xf numFmtId="165" fontId="6" fillId="0" borderId="94" xfId="0" applyNumberFormat="1" applyFont="1" applyBorder="1"/>
    <xf numFmtId="165" fontId="5" fillId="0" borderId="73" xfId="0" applyNumberFormat="1" applyFont="1" applyBorder="1"/>
    <xf numFmtId="165" fontId="5" fillId="0" borderId="74" xfId="0" applyNumberFormat="1" applyFont="1" applyBorder="1"/>
    <xf numFmtId="165" fontId="6" fillId="0" borderId="95" xfId="0" applyNumberFormat="1" applyFont="1" applyBorder="1"/>
    <xf numFmtId="165" fontId="6" fillId="0" borderId="96" xfId="0" applyNumberFormat="1" applyFont="1" applyBorder="1"/>
    <xf numFmtId="165" fontId="6" fillId="0" borderId="98" xfId="0" applyNumberFormat="1" applyFont="1" applyBorder="1"/>
    <xf numFmtId="165" fontId="5" fillId="0" borderId="99" xfId="0" applyNumberFormat="1" applyFont="1" applyBorder="1"/>
    <xf numFmtId="165" fontId="5" fillId="0" borderId="100" xfId="0" applyNumberFormat="1" applyFont="1" applyBorder="1"/>
    <xf numFmtId="165" fontId="6" fillId="0" borderId="101" xfId="0" applyNumberFormat="1" applyFont="1" applyBorder="1"/>
    <xf numFmtId="165" fontId="5" fillId="0" borderId="42" xfId="0" applyNumberFormat="1" applyFont="1" applyBorder="1"/>
    <xf numFmtId="165" fontId="5" fillId="0" borderId="34" xfId="0" applyNumberFormat="1" applyFont="1" applyBorder="1"/>
    <xf numFmtId="165" fontId="5" fillId="0" borderId="50" xfId="0" applyNumberFormat="1" applyFont="1" applyBorder="1"/>
    <xf numFmtId="165" fontId="5" fillId="0" borderId="54" xfId="0" applyNumberFormat="1" applyFont="1" applyBorder="1"/>
    <xf numFmtId="165" fontId="5" fillId="0" borderId="56" xfId="0" applyNumberFormat="1" applyFont="1" applyBorder="1"/>
    <xf numFmtId="165" fontId="6" fillId="0" borderId="17" xfId="0" applyNumberFormat="1" applyFont="1" applyBorder="1"/>
    <xf numFmtId="165" fontId="6" fillId="0" borderId="105" xfId="0" applyNumberFormat="1" applyFont="1" applyBorder="1"/>
    <xf numFmtId="165" fontId="6" fillId="0" borderId="106" xfId="0" applyNumberFormat="1" applyFont="1" applyBorder="1"/>
    <xf numFmtId="165" fontId="6" fillId="0" borderId="107" xfId="0" applyNumberFormat="1" applyFont="1" applyBorder="1"/>
    <xf numFmtId="165" fontId="5" fillId="0" borderId="57" xfId="0" applyNumberFormat="1" applyFont="1" applyBorder="1" applyAlignment="1">
      <alignment vertical="top" wrapText="1"/>
    </xf>
    <xf numFmtId="165" fontId="5" fillId="0" borderId="23" xfId="0" applyNumberFormat="1" applyFont="1" applyBorder="1" applyAlignment="1">
      <alignment vertical="top" wrapText="1"/>
    </xf>
    <xf numFmtId="165" fontId="5" fillId="0" borderId="24" xfId="0" applyNumberFormat="1" applyFont="1" applyBorder="1" applyAlignment="1">
      <alignment vertical="top" wrapText="1"/>
    </xf>
    <xf numFmtId="165" fontId="5" fillId="0" borderId="108" xfId="0" applyNumberFormat="1" applyFont="1" applyBorder="1"/>
    <xf numFmtId="165" fontId="5" fillId="0" borderId="109" xfId="0" applyNumberFormat="1" applyFont="1" applyBorder="1"/>
    <xf numFmtId="165" fontId="5" fillId="0" borderId="93" xfId="0" applyNumberFormat="1" applyFont="1" applyBorder="1" applyAlignment="1">
      <alignment vertical="top"/>
    </xf>
    <xf numFmtId="165" fontId="5" fillId="0" borderId="38" xfId="0" applyNumberFormat="1" applyFont="1" applyBorder="1" applyAlignment="1">
      <alignment vertical="top"/>
    </xf>
    <xf numFmtId="165" fontId="5" fillId="0" borderId="36" xfId="0" applyNumberFormat="1" applyFont="1" applyBorder="1" applyAlignment="1">
      <alignment vertical="top"/>
    </xf>
    <xf numFmtId="165" fontId="5" fillId="0" borderId="37" xfId="0" applyNumberFormat="1" applyFont="1" applyBorder="1" applyAlignment="1">
      <alignment vertical="top"/>
    </xf>
    <xf numFmtId="165" fontId="5" fillId="0" borderId="65" xfId="0" applyNumberFormat="1" applyFont="1" applyBorder="1" applyAlignment="1">
      <alignment vertical="top"/>
    </xf>
    <xf numFmtId="165" fontId="5" fillId="0" borderId="43" xfId="0" applyNumberFormat="1" applyFont="1" applyBorder="1" applyAlignment="1">
      <alignment vertical="top"/>
    </xf>
    <xf numFmtId="165" fontId="5" fillId="0" borderId="94" xfId="0" applyNumberFormat="1" applyFont="1" applyBorder="1" applyAlignment="1">
      <alignment vertical="top"/>
    </xf>
    <xf numFmtId="165" fontId="5" fillId="0" borderId="12" xfId="0" applyNumberFormat="1" applyFont="1" applyBorder="1" applyAlignment="1">
      <alignment vertical="top"/>
    </xf>
    <xf numFmtId="165" fontId="5" fillId="0" borderId="31" xfId="0" applyNumberFormat="1" applyFont="1" applyBorder="1" applyAlignment="1">
      <alignment vertical="top"/>
    </xf>
    <xf numFmtId="165" fontId="6" fillId="0" borderId="20" xfId="1" applyNumberFormat="1" applyFont="1" applyBorder="1"/>
    <xf numFmtId="165" fontId="6" fillId="0" borderId="21" xfId="1" applyNumberFormat="1" applyFont="1" applyBorder="1"/>
    <xf numFmtId="165" fontId="6" fillId="0" borderId="110" xfId="0" applyNumberFormat="1" applyFont="1" applyBorder="1"/>
    <xf numFmtId="165" fontId="5" fillId="0" borderId="66" xfId="0" applyNumberFormat="1" applyFont="1" applyBorder="1"/>
    <xf numFmtId="165" fontId="6" fillId="0" borderId="111" xfId="0" applyNumberFormat="1" applyFont="1" applyBorder="1"/>
    <xf numFmtId="165" fontId="6" fillId="0" borderId="112" xfId="0" applyNumberFormat="1" applyFont="1" applyBorder="1"/>
    <xf numFmtId="165" fontId="5" fillId="0" borderId="80" xfId="0" applyNumberFormat="1" applyFont="1" applyBorder="1"/>
    <xf numFmtId="165" fontId="5" fillId="0" borderId="79" xfId="0" applyNumberFormat="1" applyFont="1" applyBorder="1"/>
    <xf numFmtId="165" fontId="6" fillId="0" borderId="114" xfId="0" applyNumberFormat="1" applyFont="1" applyBorder="1"/>
    <xf numFmtId="165" fontId="6" fillId="0" borderId="71" xfId="0" applyNumberFormat="1" applyFont="1" applyBorder="1"/>
    <xf numFmtId="165" fontId="6" fillId="0" borderId="115" xfId="0" applyNumberFormat="1" applyFont="1" applyBorder="1"/>
    <xf numFmtId="165" fontId="5" fillId="0" borderId="117" xfId="0" applyNumberFormat="1" applyFont="1" applyBorder="1"/>
    <xf numFmtId="165" fontId="5" fillId="0" borderId="118" xfId="0" applyNumberFormat="1" applyFont="1" applyBorder="1"/>
    <xf numFmtId="165" fontId="6" fillId="0" borderId="124" xfId="0" applyNumberFormat="1" applyFont="1" applyBorder="1"/>
    <xf numFmtId="165" fontId="5" fillId="0" borderId="103" xfId="0" applyNumberFormat="1" applyFont="1" applyBorder="1"/>
    <xf numFmtId="165" fontId="5" fillId="0" borderId="98" xfId="0" applyNumberFormat="1" applyFont="1" applyBorder="1"/>
    <xf numFmtId="165" fontId="6" fillId="0" borderId="16" xfId="0" applyNumberFormat="1" applyFont="1" applyBorder="1"/>
    <xf numFmtId="165" fontId="6" fillId="0" borderId="120" xfId="0" applyNumberFormat="1" applyFont="1" applyBorder="1"/>
    <xf numFmtId="165" fontId="5" fillId="0" borderId="15" xfId="0" applyNumberFormat="1" applyFont="1" applyBorder="1"/>
    <xf numFmtId="165" fontId="5" fillId="0" borderId="17" xfId="0" applyNumberFormat="1" applyFont="1" applyBorder="1"/>
    <xf numFmtId="165" fontId="6" fillId="0" borderId="117" xfId="0" applyNumberFormat="1" applyFont="1" applyBorder="1"/>
    <xf numFmtId="165" fontId="5" fillId="0" borderId="94" xfId="0" applyNumberFormat="1" applyFont="1" applyBorder="1"/>
    <xf numFmtId="165" fontId="5" fillId="0" borderId="121" xfId="0" applyNumberFormat="1" applyFont="1" applyBorder="1"/>
    <xf numFmtId="165" fontId="5" fillId="0" borderId="110" xfId="0" applyNumberFormat="1" applyFont="1" applyBorder="1"/>
    <xf numFmtId="165" fontId="5" fillId="0" borderId="102" xfId="0" applyNumberFormat="1" applyFont="1" applyBorder="1"/>
    <xf numFmtId="165" fontId="5" fillId="0" borderId="111" xfId="0" applyNumberFormat="1" applyFont="1" applyBorder="1"/>
    <xf numFmtId="165" fontId="5" fillId="0" borderId="112" xfId="0" applyNumberFormat="1" applyFont="1" applyBorder="1"/>
    <xf numFmtId="165" fontId="6" fillId="0" borderId="32" xfId="0" applyNumberFormat="1" applyFont="1" applyBorder="1"/>
    <xf numFmtId="165" fontId="6" fillId="0" borderId="28" xfId="0" applyNumberFormat="1" applyFont="1" applyBorder="1"/>
    <xf numFmtId="165" fontId="5" fillId="0" borderId="19" xfId="0" applyNumberFormat="1" applyFont="1" applyBorder="1"/>
    <xf numFmtId="165" fontId="6" fillId="0" borderId="81" xfId="0" applyNumberFormat="1" applyFont="1" applyBorder="1"/>
    <xf numFmtId="165" fontId="6" fillId="0" borderId="82" xfId="0" applyNumberFormat="1" applyFont="1" applyBorder="1"/>
    <xf numFmtId="165" fontId="6" fillId="0" borderId="83" xfId="0" applyNumberFormat="1" applyFont="1" applyBorder="1"/>
    <xf numFmtId="165" fontId="6" fillId="0" borderId="84" xfId="0" applyNumberFormat="1" applyFont="1" applyBorder="1"/>
    <xf numFmtId="165" fontId="6" fillId="0" borderId="47" xfId="0" applyNumberFormat="1" applyFont="1" applyBorder="1"/>
    <xf numFmtId="165" fontId="5" fillId="0" borderId="29" xfId="0" applyNumberFormat="1" applyFont="1" applyBorder="1"/>
    <xf numFmtId="165" fontId="5" fillId="0" borderId="21" xfId="1" applyNumberFormat="1" applyBorder="1"/>
    <xf numFmtId="165" fontId="5" fillId="0" borderId="20" xfId="1" applyNumberFormat="1" applyBorder="1"/>
    <xf numFmtId="165" fontId="6" fillId="0" borderId="29" xfId="0" applyNumberFormat="1" applyFont="1" applyBorder="1"/>
    <xf numFmtId="165" fontId="6" fillId="0" borderId="14" xfId="0" applyNumberFormat="1" applyFont="1" applyBorder="1"/>
    <xf numFmtId="165" fontId="6" fillId="0" borderId="19" xfId="0" applyNumberFormat="1" applyFont="1" applyBorder="1"/>
    <xf numFmtId="165" fontId="6" fillId="0" borderId="122" xfId="0" applyNumberFormat="1" applyFont="1" applyBorder="1"/>
    <xf numFmtId="165" fontId="6" fillId="0" borderId="49" xfId="0" applyNumberFormat="1" applyFont="1" applyBorder="1"/>
    <xf numFmtId="165" fontId="6" fillId="0" borderId="72" xfId="0" applyNumberFormat="1" applyFont="1" applyBorder="1"/>
    <xf numFmtId="1" fontId="13" fillId="0" borderId="0" xfId="0" applyNumberFormat="1" applyFont="1"/>
    <xf numFmtId="165" fontId="13" fillId="0" borderId="0" xfId="0" applyNumberFormat="1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38" xfId="0" applyFont="1" applyBorder="1" applyAlignment="1">
      <alignment horizontal="right" vertical="top" wrapText="1"/>
    </xf>
    <xf numFmtId="0" fontId="6" fillId="0" borderId="33" xfId="0" applyFont="1" applyBorder="1" applyAlignment="1">
      <alignment horizontal="right" vertical="top" wrapText="1"/>
    </xf>
    <xf numFmtId="0" fontId="5" fillId="0" borderId="43" xfId="0" applyFont="1" applyBorder="1" applyAlignment="1">
      <alignment horizontal="right" vertical="top" wrapText="1"/>
    </xf>
    <xf numFmtId="0" fontId="5" fillId="0" borderId="33" xfId="0" applyFont="1" applyBorder="1" applyAlignment="1">
      <alignment horizontal="right" vertical="top" wrapText="1"/>
    </xf>
    <xf numFmtId="0" fontId="5" fillId="0" borderId="39" xfId="0" applyFont="1" applyBorder="1" applyAlignment="1">
      <alignment horizontal="right" vertical="top" wrapText="1"/>
    </xf>
    <xf numFmtId="0" fontId="1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5" fillId="0" borderId="140" xfId="2" applyFont="1" applyBorder="1" applyAlignment="1">
      <alignment horizontal="center" vertical="top" wrapText="1"/>
    </xf>
    <xf numFmtId="0" fontId="15" fillId="0" borderId="141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11" xfId="2" applyFont="1" applyBorder="1" applyAlignment="1">
      <alignment horizontal="center" vertical="top" wrapText="1"/>
    </xf>
    <xf numFmtId="0" fontId="16" fillId="0" borderId="32" xfId="2" applyFont="1" applyBorder="1" applyAlignment="1">
      <alignment horizontal="left" vertical="top" wrapText="1"/>
    </xf>
    <xf numFmtId="165" fontId="16" fillId="0" borderId="42" xfId="0" applyNumberFormat="1" applyFont="1" applyBorder="1" applyAlignment="1">
      <alignment vertical="top"/>
    </xf>
    <xf numFmtId="165" fontId="16" fillId="0" borderId="34" xfId="0" applyNumberFormat="1" applyFont="1" applyBorder="1" applyAlignment="1">
      <alignment vertical="top"/>
    </xf>
    <xf numFmtId="165" fontId="16" fillId="0" borderId="101" xfId="2" applyNumberFormat="1" applyFont="1" applyBorder="1" applyAlignment="1">
      <alignment horizontal="right" vertical="top" wrapText="1"/>
    </xf>
    <xf numFmtId="165" fontId="16" fillId="0" borderId="35" xfId="2" applyNumberFormat="1" applyFont="1" applyBorder="1" applyAlignment="1">
      <alignment horizontal="right" vertical="top" wrapText="1"/>
    </xf>
    <xf numFmtId="165" fontId="16" fillId="0" borderId="42" xfId="2" applyNumberFormat="1" applyFont="1" applyBorder="1" applyAlignment="1">
      <alignment horizontal="right" vertical="top" wrapText="1"/>
    </xf>
    <xf numFmtId="165" fontId="16" fillId="0" borderId="34" xfId="2" applyNumberFormat="1" applyFont="1" applyBorder="1" applyAlignment="1">
      <alignment horizontal="right" vertical="top" wrapText="1"/>
    </xf>
    <xf numFmtId="165" fontId="16" fillId="0" borderId="137" xfId="2" applyNumberFormat="1" applyFont="1" applyBorder="1" applyAlignment="1">
      <alignment horizontal="right" vertical="top" wrapText="1"/>
    </xf>
    <xf numFmtId="0" fontId="15" fillId="0" borderId="43" xfId="0" applyFont="1" applyBorder="1" applyAlignment="1">
      <alignment vertical="top"/>
    </xf>
    <xf numFmtId="165" fontId="16" fillId="0" borderId="130" xfId="0" applyNumberFormat="1" applyFont="1" applyBorder="1" applyAlignment="1">
      <alignment vertical="top"/>
    </xf>
    <xf numFmtId="165" fontId="16" fillId="0" borderId="125" xfId="0" applyNumberFormat="1" applyFont="1" applyBorder="1" applyAlignment="1">
      <alignment vertical="top"/>
    </xf>
    <xf numFmtId="165" fontId="15" fillId="0" borderId="131" xfId="2" applyNumberFormat="1" applyFont="1" applyBorder="1" applyAlignment="1">
      <alignment horizontal="right" vertical="top" wrapText="1"/>
    </xf>
    <xf numFmtId="165" fontId="15" fillId="0" borderId="125" xfId="2" applyNumberFormat="1" applyFont="1" applyBorder="1" applyAlignment="1">
      <alignment horizontal="right" vertical="center" wrapText="1"/>
    </xf>
    <xf numFmtId="165" fontId="15" fillId="0" borderId="130" xfId="2" applyNumberFormat="1" applyFont="1" applyBorder="1" applyAlignment="1">
      <alignment horizontal="center" vertical="top" wrapText="1"/>
    </xf>
    <xf numFmtId="165" fontId="15" fillId="0" borderId="125" xfId="2" applyNumberFormat="1" applyFont="1" applyBorder="1" applyAlignment="1">
      <alignment horizontal="center" vertical="top" wrapText="1"/>
    </xf>
    <xf numFmtId="165" fontId="15" fillId="0" borderId="3" xfId="2" applyNumberFormat="1" applyFont="1" applyBorder="1" applyAlignment="1">
      <alignment horizontal="center" vertical="top" wrapText="1"/>
    </xf>
    <xf numFmtId="165" fontId="15" fillId="0" borderId="130" xfId="0" applyNumberFormat="1" applyFont="1" applyBorder="1" applyAlignment="1">
      <alignment vertical="top"/>
    </xf>
    <xf numFmtId="165" fontId="15" fillId="0" borderId="125" xfId="0" applyNumberFormat="1" applyFont="1" applyBorder="1" applyAlignment="1">
      <alignment vertical="top"/>
    </xf>
    <xf numFmtId="0" fontId="16" fillId="0" borderId="33" xfId="0" applyFont="1" applyBorder="1" applyAlignment="1">
      <alignment vertical="top"/>
    </xf>
    <xf numFmtId="165" fontId="16" fillId="0" borderId="98" xfId="0" applyNumberFormat="1" applyFont="1" applyBorder="1" applyAlignment="1">
      <alignment vertical="top"/>
    </xf>
    <xf numFmtId="165" fontId="16" fillId="0" borderId="137" xfId="0" applyNumberFormat="1" applyFont="1" applyBorder="1" applyAlignment="1">
      <alignment vertical="top"/>
    </xf>
    <xf numFmtId="165" fontId="16" fillId="0" borderId="35" xfId="0" applyNumberFormat="1" applyFont="1" applyBorder="1" applyAlignment="1">
      <alignment vertical="top"/>
    </xf>
    <xf numFmtId="165" fontId="16" fillId="0" borderId="33" xfId="0" applyNumberFormat="1" applyFont="1" applyBorder="1" applyAlignment="1">
      <alignment vertical="top"/>
    </xf>
    <xf numFmtId="165" fontId="16" fillId="0" borderId="101" xfId="0" applyNumberFormat="1" applyFont="1" applyBorder="1" applyAlignment="1">
      <alignment vertical="top"/>
    </xf>
    <xf numFmtId="0" fontId="15" fillId="0" borderId="138" xfId="0" applyFont="1" applyBorder="1" applyAlignment="1">
      <alignment vertical="top"/>
    </xf>
    <xf numFmtId="165" fontId="16" fillId="0" borderId="36" xfId="0" applyNumberFormat="1" applyFont="1" applyBorder="1" applyAlignment="1">
      <alignment vertical="top"/>
    </xf>
    <xf numFmtId="165" fontId="16" fillId="0" borderId="37" xfId="0" applyNumberFormat="1" applyFont="1" applyBorder="1" applyAlignment="1">
      <alignment vertical="top"/>
    </xf>
    <xf numFmtId="165" fontId="15" fillId="0" borderId="55" xfId="0" applyNumberFormat="1" applyFont="1" applyBorder="1" applyAlignment="1">
      <alignment vertical="top"/>
    </xf>
    <xf numFmtId="165" fontId="15" fillId="0" borderId="54" xfId="0" applyNumberFormat="1" applyFont="1" applyBorder="1" applyAlignment="1">
      <alignment vertical="top"/>
    </xf>
    <xf numFmtId="165" fontId="15" fillId="0" borderId="36" xfId="0" applyNumberFormat="1" applyFont="1" applyBorder="1" applyAlignment="1">
      <alignment vertical="top"/>
    </xf>
    <xf numFmtId="165" fontId="15" fillId="0" borderId="37" xfId="0" applyNumberFormat="1" applyFont="1" applyBorder="1" applyAlignment="1">
      <alignment vertical="top"/>
    </xf>
    <xf numFmtId="165" fontId="15" fillId="0" borderId="38" xfId="0" applyNumberFormat="1" applyFont="1" applyBorder="1" applyAlignment="1">
      <alignment vertical="top"/>
    </xf>
    <xf numFmtId="0" fontId="15" fillId="0" borderId="18" xfId="0" applyFont="1" applyBorder="1" applyAlignment="1">
      <alignment vertical="top"/>
    </xf>
    <xf numFmtId="165" fontId="16" fillId="0" borderId="20" xfId="0" applyNumberFormat="1" applyFont="1" applyBorder="1" applyAlignment="1">
      <alignment vertical="top"/>
    </xf>
    <xf numFmtId="165" fontId="16" fillId="0" borderId="21" xfId="0" applyNumberFormat="1" applyFont="1" applyBorder="1" applyAlignment="1">
      <alignment vertical="top"/>
    </xf>
    <xf numFmtId="165" fontId="15" fillId="0" borderId="65" xfId="0" applyNumberFormat="1" applyFont="1" applyBorder="1" applyAlignment="1">
      <alignment vertical="top"/>
    </xf>
    <xf numFmtId="165" fontId="15" fillId="0" borderId="21" xfId="0" applyNumberFormat="1" applyFont="1" applyBorder="1" applyAlignment="1">
      <alignment vertical="top"/>
    </xf>
    <xf numFmtId="165" fontId="15" fillId="0" borderId="20" xfId="0" applyNumberFormat="1" applyFont="1" applyBorder="1" applyAlignment="1">
      <alignment vertical="top"/>
    </xf>
    <xf numFmtId="165" fontId="15" fillId="0" borderId="2" xfId="0" applyNumberFormat="1" applyFont="1" applyBorder="1" applyAlignment="1">
      <alignment vertical="top"/>
    </xf>
    <xf numFmtId="0" fontId="15" fillId="0" borderId="18" xfId="2" applyFont="1" applyBorder="1" applyAlignment="1">
      <alignment horizontal="left" vertical="top" wrapText="1"/>
    </xf>
    <xf numFmtId="165" fontId="15" fillId="0" borderId="65" xfId="2" applyNumberFormat="1" applyFont="1" applyBorder="1" applyAlignment="1">
      <alignment horizontal="right" vertical="top" wrapText="1"/>
    </xf>
    <xf numFmtId="165" fontId="15" fillId="0" borderId="21" xfId="2" applyNumberFormat="1" applyFont="1" applyBorder="1" applyAlignment="1">
      <alignment horizontal="right" vertical="top" wrapText="1"/>
    </xf>
    <xf numFmtId="0" fontId="15" fillId="0" borderId="18" xfId="0" applyFont="1" applyBorder="1" applyAlignment="1">
      <alignment vertical="top" wrapText="1"/>
    </xf>
    <xf numFmtId="0" fontId="15" fillId="0" borderId="39" xfId="0" applyFont="1" applyBorder="1" applyAlignment="1">
      <alignment vertical="top" wrapText="1"/>
    </xf>
    <xf numFmtId="165" fontId="16" fillId="0" borderId="30" xfId="0" applyNumberFormat="1" applyFont="1" applyBorder="1" applyAlignment="1">
      <alignment vertical="top"/>
    </xf>
    <xf numFmtId="165" fontId="16" fillId="0" borderId="12" xfId="0" applyNumberFormat="1" applyFont="1" applyBorder="1" applyAlignment="1">
      <alignment vertical="top"/>
    </xf>
    <xf numFmtId="165" fontId="15" fillId="0" borderId="89" xfId="0" applyNumberFormat="1" applyFont="1" applyBorder="1" applyAlignment="1">
      <alignment vertical="top"/>
    </xf>
    <xf numFmtId="165" fontId="15" fillId="0" borderId="12" xfId="0" applyNumberFormat="1" applyFont="1" applyBorder="1" applyAlignment="1">
      <alignment vertical="top"/>
    </xf>
    <xf numFmtId="165" fontId="15" fillId="0" borderId="30" xfId="0" applyNumberFormat="1" applyFont="1" applyBorder="1" applyAlignment="1">
      <alignment vertical="top"/>
    </xf>
    <xf numFmtId="165" fontId="15" fillId="0" borderId="31" xfId="0" applyNumberFormat="1" applyFont="1" applyBorder="1" applyAlignment="1">
      <alignment vertical="top"/>
    </xf>
    <xf numFmtId="0" fontId="16" fillId="0" borderId="32" xfId="0" applyFont="1" applyBorder="1" applyAlignment="1">
      <alignment vertical="top"/>
    </xf>
    <xf numFmtId="0" fontId="16" fillId="0" borderId="32" xfId="0" applyFont="1" applyBorder="1" applyAlignment="1">
      <alignment horizontal="left" vertical="top" wrapText="1"/>
    </xf>
    <xf numFmtId="0" fontId="15" fillId="0" borderId="138" xfId="0" applyFont="1" applyBorder="1" applyAlignment="1">
      <alignment vertical="top" wrapText="1"/>
    </xf>
    <xf numFmtId="165" fontId="15" fillId="0" borderId="93" xfId="0" applyNumberFormat="1" applyFont="1" applyBorder="1" applyAlignment="1">
      <alignment vertical="top"/>
    </xf>
    <xf numFmtId="165" fontId="15" fillId="0" borderId="1" xfId="1" applyNumberFormat="1" applyFont="1" applyBorder="1" applyAlignment="1">
      <alignment vertical="top"/>
    </xf>
    <xf numFmtId="165" fontId="15" fillId="0" borderId="21" xfId="1" applyNumberFormat="1" applyFont="1" applyBorder="1" applyAlignment="1">
      <alignment vertical="top"/>
    </xf>
    <xf numFmtId="0" fontId="16" fillId="0" borderId="33" xfId="0" applyFont="1" applyBorder="1" applyAlignment="1">
      <alignment vertical="top" wrapText="1"/>
    </xf>
    <xf numFmtId="0" fontId="15" fillId="0" borderId="43" xfId="2" applyFont="1" applyBorder="1" applyAlignment="1">
      <alignment vertical="top" wrapText="1"/>
    </xf>
    <xf numFmtId="0" fontId="15" fillId="0" borderId="39" xfId="0" applyFont="1" applyBorder="1" applyAlignment="1">
      <alignment vertical="top"/>
    </xf>
    <xf numFmtId="165" fontId="16" fillId="0" borderId="32" xfId="0" applyNumberFormat="1" applyFont="1" applyBorder="1" applyAlignment="1">
      <alignment vertical="top"/>
    </xf>
    <xf numFmtId="165" fontId="15" fillId="0" borderId="142" xfId="0" applyNumberFormat="1" applyFont="1" applyBorder="1" applyAlignment="1">
      <alignment vertical="top"/>
    </xf>
    <xf numFmtId="165" fontId="15" fillId="0" borderId="22" xfId="0" applyNumberFormat="1" applyFont="1" applyBorder="1" applyAlignment="1">
      <alignment vertical="top"/>
    </xf>
    <xf numFmtId="165" fontId="15" fillId="0" borderId="92" xfId="0" applyNumberFormat="1" applyFont="1" applyBorder="1" applyAlignment="1">
      <alignment vertical="top"/>
    </xf>
    <xf numFmtId="165" fontId="15" fillId="0" borderId="143" xfId="0" applyNumberFormat="1" applyFont="1" applyBorder="1" applyAlignment="1">
      <alignment vertical="top"/>
    </xf>
    <xf numFmtId="0" fontId="17" fillId="0" borderId="18" xfId="0" applyFont="1" applyBorder="1" applyAlignment="1">
      <alignment vertical="top" wrapText="1"/>
    </xf>
    <xf numFmtId="165" fontId="15" fillId="0" borderId="18" xfId="0" applyNumberFormat="1" applyFont="1" applyBorder="1" applyAlignment="1">
      <alignment vertical="top"/>
    </xf>
    <xf numFmtId="165" fontId="15" fillId="0" borderId="0" xfId="0" applyNumberFormat="1" applyFont="1" applyAlignment="1">
      <alignment vertical="top"/>
    </xf>
    <xf numFmtId="165" fontId="15" fillId="0" borderId="39" xfId="0" applyNumberFormat="1" applyFont="1" applyBorder="1" applyAlignment="1">
      <alignment vertical="top"/>
    </xf>
    <xf numFmtId="0" fontId="15" fillId="0" borderId="59" xfId="0" applyFont="1" applyBorder="1" applyAlignment="1">
      <alignment vertical="top" wrapText="1"/>
    </xf>
    <xf numFmtId="0" fontId="15" fillId="0" borderId="39" xfId="2" applyFont="1" applyBorder="1" applyAlignment="1">
      <alignment vertical="top" wrapText="1"/>
    </xf>
    <xf numFmtId="0" fontId="16" fillId="0" borderId="18" xfId="0" applyFont="1" applyBorder="1" applyAlignment="1">
      <alignment vertical="top"/>
    </xf>
    <xf numFmtId="165" fontId="16" fillId="0" borderId="65" xfId="0" applyNumberFormat="1" applyFont="1" applyBorder="1" applyAlignment="1">
      <alignment vertical="top"/>
    </xf>
    <xf numFmtId="165" fontId="16" fillId="0" borderId="2" xfId="0" applyNumberFormat="1" applyFont="1" applyBorder="1" applyAlignment="1">
      <alignment vertical="top"/>
    </xf>
    <xf numFmtId="0" fontId="16" fillId="0" borderId="39" xfId="0" applyFont="1" applyBorder="1" applyAlignment="1">
      <alignment vertical="top"/>
    </xf>
    <xf numFmtId="0" fontId="16" fillId="0" borderId="138" xfId="0" applyFont="1" applyBorder="1" applyAlignment="1">
      <alignment vertical="top" wrapText="1"/>
    </xf>
    <xf numFmtId="165" fontId="16" fillId="0" borderId="1" xfId="1" applyNumberFormat="1" applyFont="1" applyBorder="1" applyAlignment="1">
      <alignment vertical="top"/>
    </xf>
    <xf numFmtId="165" fontId="16" fillId="0" borderId="21" xfId="1" applyNumberFormat="1" applyFont="1" applyBorder="1" applyAlignment="1">
      <alignment vertical="top"/>
    </xf>
    <xf numFmtId="0" fontId="16" fillId="0" borderId="18" xfId="0" applyFont="1" applyBorder="1" applyAlignment="1">
      <alignment vertical="top" wrapText="1"/>
    </xf>
    <xf numFmtId="0" fontId="16" fillId="0" borderId="43" xfId="0" applyFont="1" applyBorder="1" applyAlignment="1">
      <alignment vertical="top" wrapText="1"/>
    </xf>
    <xf numFmtId="165" fontId="16" fillId="0" borderId="89" xfId="0" applyNumberFormat="1" applyFont="1" applyBorder="1" applyAlignment="1">
      <alignment vertical="top"/>
    </xf>
    <xf numFmtId="165" fontId="16" fillId="0" borderId="31" xfId="0" applyNumberFormat="1" applyFont="1" applyBorder="1" applyAlignment="1">
      <alignment vertical="top"/>
    </xf>
    <xf numFmtId="0" fontId="16" fillId="0" borderId="138" xfId="0" applyFont="1" applyBorder="1" applyAlignment="1">
      <alignment vertical="top"/>
    </xf>
    <xf numFmtId="165" fontId="16" fillId="0" borderId="93" xfId="0" applyNumberFormat="1" applyFont="1" applyBorder="1" applyAlignment="1">
      <alignment vertical="top"/>
    </xf>
    <xf numFmtId="165" fontId="16" fillId="0" borderId="38" xfId="0" applyNumberFormat="1" applyFont="1" applyBorder="1" applyAlignment="1">
      <alignment vertical="top"/>
    </xf>
    <xf numFmtId="0" fontId="16" fillId="0" borderId="59" xfId="0" applyFont="1" applyBorder="1" applyAlignment="1">
      <alignment vertical="top"/>
    </xf>
    <xf numFmtId="0" fontId="16" fillId="0" borderId="59" xfId="0" applyFont="1" applyBorder="1" applyAlignment="1">
      <alignment vertical="top" wrapText="1"/>
    </xf>
    <xf numFmtId="165" fontId="16" fillId="0" borderId="59" xfId="0" applyNumberFormat="1" applyFont="1" applyBorder="1" applyAlignment="1">
      <alignment vertical="top"/>
    </xf>
    <xf numFmtId="0" fontId="16" fillId="0" borderId="43" xfId="0" applyFont="1" applyBorder="1" applyAlignment="1">
      <alignment vertical="top"/>
    </xf>
    <xf numFmtId="165" fontId="16" fillId="0" borderId="30" xfId="0" applyNumberFormat="1" applyFont="1" applyBorder="1" applyAlignment="1">
      <alignment horizontal="right" vertical="top" wrapText="1"/>
    </xf>
    <xf numFmtId="0" fontId="16" fillId="0" borderId="33" xfId="0" applyFont="1" applyBorder="1" applyAlignment="1">
      <alignment horizontal="left" vertical="top"/>
    </xf>
    <xf numFmtId="165" fontId="16" fillId="0" borderId="139" xfId="0" applyNumberFormat="1" applyFont="1" applyBorder="1" applyAlignment="1">
      <alignment vertical="top"/>
    </xf>
    <xf numFmtId="165" fontId="16" fillId="0" borderId="40" xfId="0" applyNumberFormat="1" applyFont="1" applyBorder="1" applyAlignment="1">
      <alignment vertical="top"/>
    </xf>
    <xf numFmtId="165" fontId="16" fillId="0" borderId="41" xfId="0" applyNumberFormat="1" applyFont="1" applyBorder="1" applyAlignment="1">
      <alignment vertical="top"/>
    </xf>
    <xf numFmtId="165" fontId="16" fillId="0" borderId="4" xfId="0" applyNumberFormat="1" applyFont="1" applyBorder="1" applyAlignment="1">
      <alignment vertical="top"/>
    </xf>
    <xf numFmtId="165" fontId="16" fillId="0" borderId="46" xfId="0" applyNumberFormat="1" applyFont="1" applyBorder="1" applyAlignment="1">
      <alignment vertical="top"/>
    </xf>
    <xf numFmtId="165" fontId="16" fillId="0" borderId="47" xfId="0" applyNumberFormat="1" applyFont="1" applyBorder="1" applyAlignment="1">
      <alignment vertical="top"/>
    </xf>
    <xf numFmtId="165" fontId="3" fillId="0" borderId="0" xfId="0" applyNumberFormat="1" applyFont="1"/>
    <xf numFmtId="167" fontId="3" fillId="0" borderId="0" xfId="0" applyNumberFormat="1" applyFont="1"/>
    <xf numFmtId="0" fontId="1" fillId="0" borderId="0" xfId="0" applyFont="1" applyAlignment="1">
      <alignment wrapText="1"/>
    </xf>
    <xf numFmtId="0" fontId="1" fillId="2" borderId="0" xfId="0" applyFont="1" applyFill="1"/>
    <xf numFmtId="165" fontId="6" fillId="0" borderId="144" xfId="0" applyNumberFormat="1" applyFont="1" applyBorder="1"/>
    <xf numFmtId="165" fontId="6" fillId="0" borderId="129" xfId="0" applyNumberFormat="1" applyFont="1" applyBorder="1"/>
    <xf numFmtId="165" fontId="6" fillId="0" borderId="145" xfId="0" applyNumberFormat="1" applyFont="1" applyBorder="1"/>
    <xf numFmtId="165" fontId="6" fillId="0" borderId="22" xfId="0" applyNumberFormat="1" applyFont="1" applyBorder="1"/>
    <xf numFmtId="165" fontId="6" fillId="0" borderId="146" xfId="0" applyNumberFormat="1" applyFont="1" applyBorder="1"/>
    <xf numFmtId="0" fontId="19" fillId="0" borderId="0" xfId="0" applyFont="1"/>
    <xf numFmtId="0" fontId="3" fillId="0" borderId="9" xfId="0" applyFont="1" applyBorder="1" applyAlignment="1">
      <alignment horizontal="left"/>
    </xf>
    <xf numFmtId="166" fontId="3" fillId="0" borderId="1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29" xfId="2" applyFont="1" applyBorder="1" applyAlignment="1">
      <alignment horizontal="left"/>
    </xf>
    <xf numFmtId="0" fontId="3" fillId="0" borderId="129" xfId="2" applyFont="1" applyBorder="1" applyAlignment="1">
      <alignment horizontal="left" wrapText="1"/>
    </xf>
    <xf numFmtId="0" fontId="3" fillId="2" borderId="129" xfId="0" applyFont="1" applyFill="1" applyBorder="1" applyAlignment="1">
      <alignment horizontal="left"/>
    </xf>
    <xf numFmtId="0" fontId="3" fillId="0" borderId="129" xfId="2" applyFont="1" applyBorder="1" applyAlignment="1">
      <alignment horizontal="left" vertical="top" wrapText="1"/>
    </xf>
    <xf numFmtId="0" fontId="3" fillId="2" borderId="129" xfId="0" applyFont="1" applyFill="1" applyBorder="1" applyAlignment="1">
      <alignment horizontal="left" wrapText="1"/>
    </xf>
    <xf numFmtId="0" fontId="3" fillId="0" borderId="129" xfId="0" applyFont="1" applyBorder="1" applyAlignment="1">
      <alignment horizontal="left" wrapText="1"/>
    </xf>
    <xf numFmtId="0" fontId="3" fillId="0" borderId="129" xfId="0" applyFont="1" applyBorder="1" applyAlignment="1">
      <alignment horizontal="left"/>
    </xf>
    <xf numFmtId="0" fontId="12" fillId="0" borderId="147" xfId="0" applyFont="1" applyBorder="1" applyAlignment="1">
      <alignment horizontal="left"/>
    </xf>
    <xf numFmtId="0" fontId="10" fillId="0" borderId="40" xfId="3" applyFont="1" applyBorder="1" applyAlignment="1">
      <alignment horizontal="center" vertical="center" wrapText="1"/>
    </xf>
    <xf numFmtId="0" fontId="10" fillId="0" borderId="130" xfId="3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/>
    </xf>
    <xf numFmtId="0" fontId="3" fillId="0" borderId="20" xfId="2" applyFont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0" fontId="3" fillId="0" borderId="20" xfId="2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166" fontId="3" fillId="0" borderId="21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6" xfId="0" applyFont="1" applyBorder="1" applyAlignment="1">
      <alignment horizontal="left"/>
    </xf>
    <xf numFmtId="167" fontId="3" fillId="0" borderId="21" xfId="0" applyNumberFormat="1" applyFont="1" applyBorder="1" applyAlignment="1">
      <alignment horizontal="center"/>
    </xf>
    <xf numFmtId="167" fontId="3" fillId="0" borderId="19" xfId="0" applyNumberFormat="1" applyFont="1" applyBorder="1" applyAlignment="1">
      <alignment horizontal="center"/>
    </xf>
    <xf numFmtId="166" fontId="3" fillId="0" borderId="19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69" fontId="3" fillId="0" borderId="1" xfId="4" applyNumberFormat="1" applyFont="1" applyBorder="1" applyAlignment="1">
      <alignment horizontal="center"/>
    </xf>
    <xf numFmtId="169" fontId="3" fillId="0" borderId="21" xfId="4" applyNumberFormat="1" applyFont="1" applyBorder="1" applyAlignment="1">
      <alignment horizontal="center"/>
    </xf>
    <xf numFmtId="165" fontId="3" fillId="0" borderId="122" xfId="0" applyNumberFormat="1" applyFont="1" applyBorder="1" applyAlignment="1">
      <alignment horizontal="center"/>
    </xf>
    <xf numFmtId="165" fontId="1" fillId="0" borderId="128" xfId="0" applyNumberFormat="1" applyFont="1" applyBorder="1" applyAlignment="1">
      <alignment horizontal="left"/>
    </xf>
    <xf numFmtId="165" fontId="1" fillId="0" borderId="47" xfId="0" applyNumberFormat="1" applyFont="1" applyBorder="1" applyAlignment="1">
      <alignment horizontal="left"/>
    </xf>
    <xf numFmtId="165" fontId="1" fillId="0" borderId="148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169" fontId="3" fillId="0" borderId="19" xfId="4" applyNumberFormat="1" applyFont="1" applyBorder="1" applyAlignment="1"/>
    <xf numFmtId="169" fontId="3" fillId="0" borderId="1" xfId="4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15" fillId="0" borderId="4" xfId="2" applyFont="1" applyBorder="1" applyAlignment="1">
      <alignment horizontal="center" vertical="top" wrapText="1"/>
    </xf>
    <xf numFmtId="0" fontId="15" fillId="0" borderId="9" xfId="2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1" fillId="0" borderId="134" xfId="0" applyNumberFormat="1" applyFont="1" applyBorder="1" applyAlignment="1">
      <alignment horizontal="center"/>
    </xf>
    <xf numFmtId="165" fontId="1" fillId="0" borderId="135" xfId="0" applyNumberFormat="1" applyFont="1" applyBorder="1" applyAlignment="1">
      <alignment horizontal="center"/>
    </xf>
    <xf numFmtId="0" fontId="10" fillId="0" borderId="126" xfId="3" applyFont="1" applyBorder="1" applyAlignment="1">
      <alignment horizontal="center" vertical="center" wrapText="1"/>
    </xf>
    <xf numFmtId="0" fontId="10" fillId="0" borderId="1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" fillId="0" borderId="133" xfId="0" applyFont="1" applyBorder="1"/>
    <xf numFmtId="0" fontId="3" fillId="0" borderId="133" xfId="0" applyFont="1" applyBorder="1"/>
    <xf numFmtId="0" fontId="3" fillId="0" borderId="136" xfId="0" applyFont="1" applyBorder="1"/>
    <xf numFmtId="0" fontId="11" fillId="0" borderId="33" xfId="0" applyFont="1" applyBorder="1" applyAlignment="1">
      <alignment horizontal="center"/>
    </xf>
    <xf numFmtId="0" fontId="11" fillId="0" borderId="101" xfId="0" applyFont="1" applyBorder="1" applyAlignment="1">
      <alignment horizontal="center"/>
    </xf>
    <xf numFmtId="0" fontId="11" fillId="0" borderId="137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10" fillId="0" borderId="41" xfId="3" applyFont="1" applyBorder="1" applyAlignment="1">
      <alignment horizontal="center" vertical="center" wrapText="1"/>
    </xf>
    <xf numFmtId="0" fontId="10" fillId="0" borderId="43" xfId="3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2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</cellXfs>
  <cellStyles count="5">
    <cellStyle name="Įprastas" xfId="0" builtinId="0"/>
    <cellStyle name="Įprastas 3" xfId="1" xr:uid="{65434216-D55A-439A-996C-105AEBB2BBEE}"/>
    <cellStyle name="Kablelis" xfId="4" builtinId="3"/>
    <cellStyle name="Normal_Sheet1" xfId="2" xr:uid="{29D739B1-81EF-41A4-9274-278FECC3CE0B}"/>
    <cellStyle name="Normal_Sheet1_1" xfId="3" xr:uid="{EC1C153A-CFA2-4EB0-9D66-2B1D2B9D13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4BD62-250D-42BA-A964-BB8754EDFFCB}">
  <dimension ref="A2:K14"/>
  <sheetViews>
    <sheetView tabSelected="1" workbookViewId="0"/>
  </sheetViews>
  <sheetFormatPr defaultRowHeight="15" x14ac:dyDescent="0.25"/>
  <sheetData>
    <row r="2" spans="1:11" ht="15.75" x14ac:dyDescent="0.25">
      <c r="A2" s="462" t="s">
        <v>413</v>
      </c>
      <c r="B2" s="462"/>
      <c r="C2" s="462"/>
      <c r="D2" s="462"/>
      <c r="E2" s="462"/>
      <c r="F2" s="462"/>
      <c r="G2" s="462"/>
      <c r="H2" s="462"/>
      <c r="I2" s="462"/>
      <c r="J2" s="462"/>
    </row>
    <row r="3" spans="1:11" ht="15.75" x14ac:dyDescent="0.25">
      <c r="A3" s="464" t="s">
        <v>415</v>
      </c>
      <c r="B3" s="464"/>
      <c r="C3" s="464"/>
      <c r="D3" s="464"/>
      <c r="E3" s="464"/>
      <c r="F3" s="464"/>
      <c r="G3" s="464"/>
      <c r="H3" s="464"/>
      <c r="I3" s="464"/>
    </row>
    <row r="4" spans="1:11" ht="15.75" x14ac:dyDescent="0.25">
      <c r="A4" s="509" t="s">
        <v>414</v>
      </c>
      <c r="B4" s="509"/>
      <c r="C4" s="509"/>
      <c r="D4" s="509"/>
      <c r="E4" s="509"/>
      <c r="F4" s="509"/>
      <c r="G4" s="509"/>
      <c r="H4" s="509"/>
      <c r="I4" s="509"/>
    </row>
    <row r="5" spans="1:11" ht="15.75" x14ac:dyDescent="0.25">
      <c r="A5" s="462"/>
    </row>
    <row r="6" spans="1:11" ht="15.75" x14ac:dyDescent="0.25">
      <c r="A6" s="462"/>
    </row>
    <row r="7" spans="1:11" ht="15.75" x14ac:dyDescent="0.25">
      <c r="A7" s="462"/>
    </row>
    <row r="8" spans="1:11" ht="15.75" x14ac:dyDescent="0.25">
      <c r="A8" s="462"/>
    </row>
    <row r="9" spans="1:11" ht="15.75" x14ac:dyDescent="0.25">
      <c r="A9" s="462"/>
    </row>
    <row r="10" spans="1:11" ht="15.75" x14ac:dyDescent="0.25">
      <c r="A10" s="462"/>
    </row>
    <row r="11" spans="1:11" ht="15.75" x14ac:dyDescent="0.25">
      <c r="A11" s="462"/>
    </row>
    <row r="12" spans="1:11" ht="15.75" x14ac:dyDescent="0.25">
      <c r="A12" s="462"/>
    </row>
    <row r="13" spans="1:11" ht="18.75" x14ac:dyDescent="0.25">
      <c r="A13" s="510" t="s">
        <v>417</v>
      </c>
      <c r="B13" s="510"/>
      <c r="C13" s="510"/>
      <c r="D13" s="510"/>
      <c r="E13" s="510"/>
      <c r="F13" s="510"/>
      <c r="G13" s="510"/>
      <c r="H13" s="510"/>
      <c r="I13" s="510"/>
      <c r="J13" s="463"/>
      <c r="K13" s="463"/>
    </row>
    <row r="14" spans="1:11" ht="18.75" x14ac:dyDescent="0.25">
      <c r="A14" s="463" t="s">
        <v>416</v>
      </c>
      <c r="B14" s="463"/>
      <c r="C14" s="463"/>
      <c r="D14" s="463"/>
      <c r="E14" s="463"/>
      <c r="F14" s="463"/>
      <c r="G14" s="463"/>
      <c r="H14" s="463"/>
      <c r="I14" s="463"/>
    </row>
  </sheetData>
  <mergeCells count="3">
    <mergeCell ref="A3:I3"/>
    <mergeCell ref="A4:I4"/>
    <mergeCell ref="A13:I13"/>
  </mergeCells>
  <pageMargins left="1.1811023622047245" right="0.39370078740157483" top="0.78740157480314965" bottom="0.7874015748031496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ACFC-A3DB-494C-B533-E6A766CD7824}">
  <sheetPr>
    <pageSetUpPr fitToPage="1"/>
  </sheetPr>
  <dimension ref="A1:H81"/>
  <sheetViews>
    <sheetView workbookViewId="0">
      <selection activeCell="E7" sqref="E7"/>
    </sheetView>
  </sheetViews>
  <sheetFormatPr defaultRowHeight="15" x14ac:dyDescent="0.25"/>
  <cols>
    <col min="1" max="1" width="4.42578125" bestFit="1" customWidth="1"/>
    <col min="2" max="2" width="14.42578125" customWidth="1"/>
    <col min="3" max="3" width="61.85546875" bestFit="1" customWidth="1"/>
    <col min="4" max="4" width="14.28515625" bestFit="1" customWidth="1"/>
    <col min="5" max="5" width="16.5703125" customWidth="1"/>
    <col min="7" max="8" width="11.5703125" bestFit="1" customWidth="1"/>
  </cols>
  <sheetData>
    <row r="1" spans="1:6" x14ac:dyDescent="0.25">
      <c r="D1" s="2"/>
      <c r="E1" s="2"/>
      <c r="F1" s="2"/>
    </row>
    <row r="3" spans="1:6" ht="15.75" x14ac:dyDescent="0.25">
      <c r="A3" s="1"/>
      <c r="B3" s="465" t="s">
        <v>396</v>
      </c>
      <c r="C3" s="465"/>
      <c r="D3" s="465"/>
      <c r="E3" s="465"/>
    </row>
    <row r="4" spans="1:6" ht="15.75" x14ac:dyDescent="0.25">
      <c r="A4" s="1"/>
      <c r="B4" s="1"/>
      <c r="C4" s="2"/>
      <c r="D4" s="2"/>
      <c r="E4" s="3"/>
    </row>
    <row r="5" spans="1:6" x14ac:dyDescent="0.25">
      <c r="A5" s="2"/>
      <c r="B5" s="2"/>
      <c r="C5" s="2"/>
      <c r="D5" s="2" t="s">
        <v>0</v>
      </c>
      <c r="E5" s="2"/>
    </row>
    <row r="6" spans="1:6" ht="47.25" x14ac:dyDescent="0.25">
      <c r="A6" s="4" t="s">
        <v>1</v>
      </c>
      <c r="B6" s="4" t="s">
        <v>2</v>
      </c>
      <c r="C6" s="5" t="s">
        <v>3</v>
      </c>
      <c r="D6" s="6" t="s">
        <v>397</v>
      </c>
      <c r="E6" s="302" t="s">
        <v>309</v>
      </c>
    </row>
    <row r="7" spans="1:6" x14ac:dyDescent="0.25">
      <c r="A7" s="303">
        <v>1</v>
      </c>
      <c r="B7" s="303">
        <v>2</v>
      </c>
      <c r="C7" s="304">
        <v>3</v>
      </c>
      <c r="D7" s="303">
        <v>4</v>
      </c>
      <c r="E7" s="459">
        <v>5</v>
      </c>
    </row>
    <row r="8" spans="1:6" ht="15.75" x14ac:dyDescent="0.25">
      <c r="A8" s="4">
        <v>1</v>
      </c>
      <c r="B8" s="7" t="s">
        <v>4</v>
      </c>
      <c r="C8" s="8" t="s">
        <v>5</v>
      </c>
      <c r="D8" s="9">
        <f>D9+D12+D16</f>
        <v>29059.200000000001</v>
      </c>
      <c r="E8" s="13">
        <f>E9+E12+E16</f>
        <v>30979.875853999998</v>
      </c>
    </row>
    <row r="9" spans="1:6" ht="15.75" x14ac:dyDescent="0.25">
      <c r="A9" s="4">
        <v>2</v>
      </c>
      <c r="B9" s="10" t="s">
        <v>6</v>
      </c>
      <c r="C9" s="11" t="s">
        <v>7</v>
      </c>
      <c r="D9" s="12">
        <f>D10</f>
        <v>27505.200000000001</v>
      </c>
      <c r="E9" s="29">
        <f>E10</f>
        <v>29390.04336</v>
      </c>
    </row>
    <row r="10" spans="1:6" ht="15.75" x14ac:dyDescent="0.25">
      <c r="A10" s="4">
        <v>3</v>
      </c>
      <c r="B10" s="4" t="s">
        <v>8</v>
      </c>
      <c r="C10" s="5" t="s">
        <v>9</v>
      </c>
      <c r="D10" s="12">
        <v>27505.200000000001</v>
      </c>
      <c r="E10" s="37">
        <v>29390.04336</v>
      </c>
    </row>
    <row r="11" spans="1:6" ht="15.75" x14ac:dyDescent="0.25">
      <c r="A11" s="4">
        <v>4</v>
      </c>
      <c r="B11" s="4" t="s">
        <v>8</v>
      </c>
      <c r="C11" s="5" t="s">
        <v>125</v>
      </c>
      <c r="D11" s="12">
        <v>18</v>
      </c>
      <c r="E11" s="33">
        <v>29.454319999999999</v>
      </c>
    </row>
    <row r="12" spans="1:6" ht="15.75" x14ac:dyDescent="0.25">
      <c r="A12" s="4">
        <v>5</v>
      </c>
      <c r="B12" s="4" t="s">
        <v>10</v>
      </c>
      <c r="C12" s="11" t="s">
        <v>11</v>
      </c>
      <c r="D12" s="12">
        <f>D13+D14+D15</f>
        <v>1464</v>
      </c>
      <c r="E12" s="33">
        <f>E13+E14+E15</f>
        <v>1452.5881299999999</v>
      </c>
    </row>
    <row r="13" spans="1:6" ht="15.75" x14ac:dyDescent="0.25">
      <c r="A13" s="4">
        <v>6</v>
      </c>
      <c r="B13" s="4" t="s">
        <v>12</v>
      </c>
      <c r="C13" s="5" t="s">
        <v>13</v>
      </c>
      <c r="D13" s="12">
        <v>1100</v>
      </c>
      <c r="E13" s="33">
        <v>1087.4250999999999</v>
      </c>
    </row>
    <row r="14" spans="1:6" ht="15.75" x14ac:dyDescent="0.25">
      <c r="A14" s="4">
        <v>7</v>
      </c>
      <c r="B14" s="4" t="s">
        <v>14</v>
      </c>
      <c r="C14" s="5" t="s">
        <v>15</v>
      </c>
      <c r="D14" s="12">
        <f>24+2</f>
        <v>26</v>
      </c>
      <c r="E14" s="33">
        <v>26.675999999999998</v>
      </c>
    </row>
    <row r="15" spans="1:6" ht="15.75" x14ac:dyDescent="0.25">
      <c r="A15" s="4">
        <v>8</v>
      </c>
      <c r="B15" s="4" t="s">
        <v>16</v>
      </c>
      <c r="C15" s="5" t="s">
        <v>17</v>
      </c>
      <c r="D15" s="12">
        <f>335+3</f>
        <v>338</v>
      </c>
      <c r="E15" s="33">
        <v>338.48703</v>
      </c>
    </row>
    <row r="16" spans="1:6" ht="15.75" x14ac:dyDescent="0.25">
      <c r="A16" s="4">
        <v>9</v>
      </c>
      <c r="B16" s="4" t="s">
        <v>18</v>
      </c>
      <c r="C16" s="11" t="s">
        <v>19</v>
      </c>
      <c r="D16" s="12">
        <f>D17</f>
        <v>90</v>
      </c>
      <c r="E16" s="33">
        <f>E17</f>
        <v>137.24436399999999</v>
      </c>
    </row>
    <row r="17" spans="1:8" ht="15.75" x14ac:dyDescent="0.25">
      <c r="A17" s="4">
        <v>10</v>
      </c>
      <c r="B17" s="4" t="s">
        <v>20</v>
      </c>
      <c r="C17" s="5" t="s">
        <v>21</v>
      </c>
      <c r="D17" s="12">
        <v>90</v>
      </c>
      <c r="E17" s="33">
        <v>137.24436399999999</v>
      </c>
    </row>
    <row r="18" spans="1:8" ht="15.75" x14ac:dyDescent="0.25">
      <c r="A18" s="4">
        <v>11</v>
      </c>
      <c r="B18" s="7" t="s">
        <v>22</v>
      </c>
      <c r="C18" s="8" t="s">
        <v>399</v>
      </c>
      <c r="D18" s="13">
        <f>D22+D27+D49+D19</f>
        <v>24425.414249999998</v>
      </c>
      <c r="E18" s="13">
        <f>E22+E27+E49+E19</f>
        <v>24313.79104</v>
      </c>
    </row>
    <row r="19" spans="1:8" ht="15.75" x14ac:dyDescent="0.25">
      <c r="A19" s="4">
        <v>12</v>
      </c>
      <c r="B19" s="14" t="s">
        <v>23</v>
      </c>
      <c r="C19" s="11" t="s">
        <v>24</v>
      </c>
      <c r="D19" s="15">
        <f>D20+D21</f>
        <v>1380.32149</v>
      </c>
      <c r="E19" s="37">
        <f>E20+E21</f>
        <v>1371.5185300000001</v>
      </c>
      <c r="G19" s="141"/>
      <c r="H19" s="141"/>
    </row>
    <row r="20" spans="1:8" ht="15.75" x14ac:dyDescent="0.25">
      <c r="A20" s="4">
        <v>13</v>
      </c>
      <c r="B20" s="14" t="s">
        <v>25</v>
      </c>
      <c r="C20" s="5" t="s">
        <v>26</v>
      </c>
      <c r="D20" s="15">
        <f>470.57696+5.026</f>
        <v>475.60296</v>
      </c>
      <c r="E20" s="15">
        <v>466.8</v>
      </c>
    </row>
    <row r="21" spans="1:8" ht="15.75" x14ac:dyDescent="0.25">
      <c r="A21" s="4">
        <v>14</v>
      </c>
      <c r="B21" s="14" t="s">
        <v>27</v>
      </c>
      <c r="C21" s="5" t="s">
        <v>28</v>
      </c>
      <c r="D21" s="15">
        <f>864.44435+40.27418</f>
        <v>904.71852999999999</v>
      </c>
      <c r="E21" s="15">
        <f>864.44435+40.27418</f>
        <v>904.71852999999999</v>
      </c>
    </row>
    <row r="22" spans="1:8" ht="15.75" x14ac:dyDescent="0.25">
      <c r="A22" s="4">
        <v>15</v>
      </c>
      <c r="B22" s="14" t="s">
        <v>29</v>
      </c>
      <c r="C22" s="11" t="s">
        <v>30</v>
      </c>
      <c r="D22" s="16">
        <f>D23+D24+D25+D26</f>
        <v>14865.764000000001</v>
      </c>
      <c r="E22" s="16">
        <f>E23+E24+E25+E26</f>
        <v>14806.570659999999</v>
      </c>
    </row>
    <row r="23" spans="1:8" ht="31.5" x14ac:dyDescent="0.25">
      <c r="A23" s="4">
        <v>16</v>
      </c>
      <c r="B23" s="4" t="s">
        <v>31</v>
      </c>
      <c r="C23" s="5" t="s">
        <v>32</v>
      </c>
      <c r="D23" s="17">
        <f>4924.564-57.8+166.1+15.1</f>
        <v>5047.9640000000009</v>
      </c>
      <c r="E23" s="33">
        <v>4988.7706600000001</v>
      </c>
    </row>
    <row r="24" spans="1:8" ht="15.75" x14ac:dyDescent="0.25">
      <c r="A24" s="4">
        <v>17</v>
      </c>
      <c r="B24" s="4" t="s">
        <v>33</v>
      </c>
      <c r="C24" s="5" t="s">
        <v>34</v>
      </c>
      <c r="D24" s="18">
        <v>9682.1</v>
      </c>
      <c r="E24" s="33">
        <v>9682.1</v>
      </c>
    </row>
    <row r="25" spans="1:8" ht="31.5" x14ac:dyDescent="0.25">
      <c r="A25" s="4">
        <v>18</v>
      </c>
      <c r="B25" s="4" t="s">
        <v>35</v>
      </c>
      <c r="C25" s="19" t="s">
        <v>36</v>
      </c>
      <c r="D25" s="20">
        <v>134.9</v>
      </c>
      <c r="E25" s="33">
        <v>134.9</v>
      </c>
    </row>
    <row r="26" spans="1:8" ht="31.5" x14ac:dyDescent="0.25">
      <c r="A26" s="4">
        <v>19</v>
      </c>
      <c r="B26" s="4" t="s">
        <v>37</v>
      </c>
      <c r="C26" s="19" t="s">
        <v>38</v>
      </c>
      <c r="D26" s="20">
        <v>0.8</v>
      </c>
      <c r="E26" s="33">
        <v>0.8</v>
      </c>
    </row>
    <row r="27" spans="1:8" ht="15.75" x14ac:dyDescent="0.25">
      <c r="A27" s="4">
        <v>20</v>
      </c>
      <c r="B27" s="14" t="s">
        <v>40</v>
      </c>
      <c r="C27" s="21" t="s">
        <v>398</v>
      </c>
      <c r="D27" s="15">
        <f>SUM(D28:D48)</f>
        <v>3935.5683399999998</v>
      </c>
      <c r="E27" s="15">
        <f>SUM(E28:E48)</f>
        <v>3907.4154199999998</v>
      </c>
    </row>
    <row r="28" spans="1:8" ht="31.5" x14ac:dyDescent="0.25">
      <c r="A28" s="4">
        <v>21</v>
      </c>
      <c r="B28" s="4" t="s">
        <v>41</v>
      </c>
      <c r="C28" s="19" t="s">
        <v>39</v>
      </c>
      <c r="D28" s="20">
        <v>23.286999999999999</v>
      </c>
      <c r="E28" s="33">
        <v>23.286999999999999</v>
      </c>
    </row>
    <row r="29" spans="1:8" ht="31.5" x14ac:dyDescent="0.25">
      <c r="A29" s="4">
        <v>22</v>
      </c>
      <c r="B29" s="4" t="s">
        <v>127</v>
      </c>
      <c r="C29" s="19" t="s">
        <v>42</v>
      </c>
      <c r="D29" s="20">
        <v>179.6</v>
      </c>
      <c r="E29" s="33">
        <v>179.54311999999999</v>
      </c>
    </row>
    <row r="30" spans="1:8" ht="15.75" x14ac:dyDescent="0.25">
      <c r="A30" s="4">
        <v>23</v>
      </c>
      <c r="B30" s="4" t="s">
        <v>44</v>
      </c>
      <c r="C30" s="22" t="s">
        <v>43</v>
      </c>
      <c r="D30" s="20">
        <v>131</v>
      </c>
      <c r="E30" s="33">
        <v>130.89885000000001</v>
      </c>
    </row>
    <row r="31" spans="1:8" ht="31.5" x14ac:dyDescent="0.25">
      <c r="A31" s="4">
        <v>24</v>
      </c>
      <c r="B31" s="4" t="s">
        <v>46</v>
      </c>
      <c r="C31" s="19" t="s">
        <v>45</v>
      </c>
      <c r="D31" s="20">
        <v>52.581000000000003</v>
      </c>
      <c r="E31" s="33">
        <v>52.581000000000003</v>
      </c>
    </row>
    <row r="32" spans="1:8" ht="31.5" x14ac:dyDescent="0.25">
      <c r="A32" s="4">
        <v>25</v>
      </c>
      <c r="B32" s="4" t="s">
        <v>48</v>
      </c>
      <c r="C32" s="19" t="s">
        <v>47</v>
      </c>
      <c r="D32" s="20">
        <v>92.33</v>
      </c>
      <c r="E32" s="33">
        <v>85.275499999999994</v>
      </c>
    </row>
    <row r="33" spans="1:5" ht="15.75" x14ac:dyDescent="0.25">
      <c r="A33" s="4">
        <v>26</v>
      </c>
      <c r="B33" s="4" t="s">
        <v>50</v>
      </c>
      <c r="C33" s="19" t="s">
        <v>49</v>
      </c>
      <c r="D33" s="20">
        <f>112.19267-10.2</f>
        <v>101.99267</v>
      </c>
      <c r="E33" s="33">
        <v>97.474509999999995</v>
      </c>
    </row>
    <row r="34" spans="1:5" ht="15.75" x14ac:dyDescent="0.25">
      <c r="A34" s="4">
        <v>27</v>
      </c>
      <c r="B34" s="4" t="s">
        <v>52</v>
      </c>
      <c r="C34" s="19" t="s">
        <v>51</v>
      </c>
      <c r="D34" s="20">
        <v>24.678999999999998</v>
      </c>
      <c r="E34" s="33">
        <v>14.56076</v>
      </c>
    </row>
    <row r="35" spans="1:5" ht="31.5" x14ac:dyDescent="0.25">
      <c r="A35" s="4">
        <v>28</v>
      </c>
      <c r="B35" s="4" t="s">
        <v>54</v>
      </c>
      <c r="C35" s="19" t="s">
        <v>53</v>
      </c>
      <c r="D35" s="20">
        <v>56.75</v>
      </c>
      <c r="E35" s="33">
        <v>56.75</v>
      </c>
    </row>
    <row r="36" spans="1:5" ht="31.5" x14ac:dyDescent="0.25">
      <c r="A36" s="4">
        <v>29</v>
      </c>
      <c r="B36" s="4" t="s">
        <v>56</v>
      </c>
      <c r="C36" s="19" t="s">
        <v>55</v>
      </c>
      <c r="D36" s="20">
        <v>46.390999999999998</v>
      </c>
      <c r="E36" s="33">
        <v>46.390999999999998</v>
      </c>
    </row>
    <row r="37" spans="1:5" ht="15.75" x14ac:dyDescent="0.25">
      <c r="A37" s="4">
        <v>30</v>
      </c>
      <c r="B37" s="4" t="s">
        <v>58</v>
      </c>
      <c r="C37" s="19" t="s">
        <v>57</v>
      </c>
      <c r="D37" s="20">
        <v>18.992999999999999</v>
      </c>
      <c r="E37" s="33">
        <v>18.956299999999999</v>
      </c>
    </row>
    <row r="38" spans="1:5" ht="31.5" x14ac:dyDescent="0.25">
      <c r="A38" s="4">
        <v>31</v>
      </c>
      <c r="B38" s="4" t="s">
        <v>60</v>
      </c>
      <c r="C38" s="19" t="s">
        <v>59</v>
      </c>
      <c r="D38" s="23">
        <f>62.77544+5.40431</f>
        <v>68.179749999999999</v>
      </c>
      <c r="E38" s="33">
        <v>68.179749999999999</v>
      </c>
    </row>
    <row r="39" spans="1:5" ht="47.25" x14ac:dyDescent="0.25">
      <c r="A39" s="4">
        <v>32</v>
      </c>
      <c r="B39" s="4" t="s">
        <v>128</v>
      </c>
      <c r="C39" s="19" t="s">
        <v>61</v>
      </c>
      <c r="D39" s="18">
        <f>24.976+4.592</f>
        <v>29.567999999999998</v>
      </c>
      <c r="E39" s="33">
        <v>28.25027</v>
      </c>
    </row>
    <row r="40" spans="1:5" ht="15.75" x14ac:dyDescent="0.25">
      <c r="A40" s="4">
        <v>33</v>
      </c>
      <c r="B40" s="4" t="s">
        <v>63</v>
      </c>
      <c r="C40" s="19" t="s">
        <v>62</v>
      </c>
      <c r="D40" s="24">
        <v>28.693200000000001</v>
      </c>
      <c r="E40" s="33">
        <v>28.483360000000001</v>
      </c>
    </row>
    <row r="41" spans="1:5" ht="15.75" x14ac:dyDescent="0.25">
      <c r="A41" s="4">
        <v>34</v>
      </c>
      <c r="B41" s="4" t="s">
        <v>65</v>
      </c>
      <c r="C41" s="19" t="s">
        <v>64</v>
      </c>
      <c r="D41" s="23">
        <v>657.9</v>
      </c>
      <c r="E41" s="33">
        <v>653.16027999999994</v>
      </c>
    </row>
    <row r="42" spans="1:5" ht="31.5" x14ac:dyDescent="0.25">
      <c r="A42" s="4">
        <v>35</v>
      </c>
      <c r="B42" s="4" t="s">
        <v>67</v>
      </c>
      <c r="C42" s="19" t="s">
        <v>66</v>
      </c>
      <c r="D42" s="18">
        <f>3163.109+28.641-834.4</f>
        <v>2357.35</v>
      </c>
      <c r="E42" s="33">
        <v>2357.35</v>
      </c>
    </row>
    <row r="43" spans="1:5" ht="63" x14ac:dyDescent="0.25">
      <c r="A43" s="4">
        <v>36</v>
      </c>
      <c r="B43" s="4" t="s">
        <v>69</v>
      </c>
      <c r="C43" s="19" t="s">
        <v>68</v>
      </c>
      <c r="D43" s="23">
        <v>6.3719999999999999</v>
      </c>
      <c r="E43" s="33">
        <v>6.3719999999999999</v>
      </c>
    </row>
    <row r="44" spans="1:5" ht="31.5" x14ac:dyDescent="0.25">
      <c r="A44" s="4">
        <v>37</v>
      </c>
      <c r="B44" s="4" t="s">
        <v>129</v>
      </c>
      <c r="C44" s="19" t="s">
        <v>70</v>
      </c>
      <c r="D44" s="23">
        <v>14.891719999999999</v>
      </c>
      <c r="E44" s="33">
        <v>14.891719999999999</v>
      </c>
    </row>
    <row r="45" spans="1:5" ht="63" x14ac:dyDescent="0.25">
      <c r="A45" s="4">
        <v>38</v>
      </c>
      <c r="B45" s="4" t="s">
        <v>72</v>
      </c>
      <c r="C45" s="19" t="s">
        <v>71</v>
      </c>
      <c r="D45" s="23">
        <f>16.863+5.011</f>
        <v>21.873999999999999</v>
      </c>
      <c r="E45" s="458">
        <v>21.873999999999999</v>
      </c>
    </row>
    <row r="46" spans="1:5" ht="15.75" x14ac:dyDescent="0.25">
      <c r="A46" s="4">
        <v>39</v>
      </c>
      <c r="B46" s="4" t="s">
        <v>74</v>
      </c>
      <c r="C46" s="19" t="s">
        <v>73</v>
      </c>
      <c r="D46" s="23">
        <v>5.9</v>
      </c>
      <c r="E46" s="33">
        <v>5.9</v>
      </c>
    </row>
    <row r="47" spans="1:5" ht="63" x14ac:dyDescent="0.25">
      <c r="A47" s="4">
        <v>40</v>
      </c>
      <c r="B47" s="4" t="s">
        <v>74</v>
      </c>
      <c r="C47" s="19" t="s">
        <v>75</v>
      </c>
      <c r="D47" s="18">
        <f>4.547+5.503</f>
        <v>10.050000000000001</v>
      </c>
      <c r="E47" s="33">
        <v>10.050000000000001</v>
      </c>
    </row>
    <row r="48" spans="1:5" ht="31.5" x14ac:dyDescent="0.25">
      <c r="A48" s="4">
        <v>41</v>
      </c>
      <c r="B48" s="4" t="s">
        <v>130</v>
      </c>
      <c r="C48" s="19" t="s">
        <v>126</v>
      </c>
      <c r="D48" s="18">
        <v>7.1859999999999999</v>
      </c>
      <c r="E48" s="33">
        <v>7.1859999999999999</v>
      </c>
    </row>
    <row r="49" spans="1:5" ht="15.75" x14ac:dyDescent="0.25">
      <c r="A49" s="14">
        <v>42</v>
      </c>
      <c r="B49" s="14" t="s">
        <v>77</v>
      </c>
      <c r="C49" s="21" t="s">
        <v>400</v>
      </c>
      <c r="D49" s="25">
        <f>D50+D51+D52+D54+D55+D56+D53+D57+D58+D60</f>
        <v>4243.7604199999996</v>
      </c>
      <c r="E49" s="25">
        <f>E50+E51+E52+E54+E55+E56+E53+E57+E58+E60+E59</f>
        <v>4228.2864299999992</v>
      </c>
    </row>
    <row r="50" spans="1:5" ht="15.75" x14ac:dyDescent="0.25">
      <c r="A50" s="4">
        <v>43</v>
      </c>
      <c r="B50" s="4" t="s">
        <v>78</v>
      </c>
      <c r="C50" s="22" t="s">
        <v>79</v>
      </c>
      <c r="D50" s="20">
        <f>1587+666</f>
        <v>2253</v>
      </c>
      <c r="E50" s="33">
        <v>2253</v>
      </c>
    </row>
    <row r="51" spans="1:5" ht="31.5" x14ac:dyDescent="0.25">
      <c r="A51" s="4">
        <v>44</v>
      </c>
      <c r="B51" s="4" t="s">
        <v>80</v>
      </c>
      <c r="C51" s="19" t="s">
        <v>81</v>
      </c>
      <c r="D51" s="20">
        <v>33.564</v>
      </c>
      <c r="E51" s="33">
        <v>33.564</v>
      </c>
    </row>
    <row r="52" spans="1:5" ht="15.75" x14ac:dyDescent="0.25">
      <c r="A52" s="4">
        <v>45</v>
      </c>
      <c r="B52" s="4" t="s">
        <v>131</v>
      </c>
      <c r="C52" s="19" t="s">
        <v>64</v>
      </c>
      <c r="D52" s="20">
        <v>1835.9</v>
      </c>
      <c r="E52" s="33">
        <v>1819.3100099999999</v>
      </c>
    </row>
    <row r="53" spans="1:5" ht="31.5" x14ac:dyDescent="0.25">
      <c r="A53" s="4">
        <v>46</v>
      </c>
      <c r="B53" s="4" t="s">
        <v>82</v>
      </c>
      <c r="C53" s="19" t="s">
        <v>84</v>
      </c>
      <c r="D53" s="23">
        <v>16.495069999999998</v>
      </c>
      <c r="E53" s="33">
        <v>16.495069999999998</v>
      </c>
    </row>
    <row r="54" spans="1:5" ht="47.25" x14ac:dyDescent="0.25">
      <c r="A54" s="4">
        <v>47</v>
      </c>
      <c r="B54" s="4" t="s">
        <v>83</v>
      </c>
      <c r="C54" s="19" t="s">
        <v>86</v>
      </c>
      <c r="D54" s="26">
        <v>59.293869999999998</v>
      </c>
      <c r="E54" s="33">
        <v>59.293869999999998</v>
      </c>
    </row>
    <row r="55" spans="1:5" ht="47.25" x14ac:dyDescent="0.25">
      <c r="A55" s="4">
        <v>48</v>
      </c>
      <c r="B55" s="4" t="s">
        <v>85</v>
      </c>
      <c r="C55" s="19" t="s">
        <v>88</v>
      </c>
      <c r="D55" s="26">
        <v>0.39688000000000001</v>
      </c>
      <c r="E55" s="33">
        <v>0.39688000000000001</v>
      </c>
    </row>
    <row r="56" spans="1:5" ht="31.5" x14ac:dyDescent="0.25">
      <c r="A56" s="4">
        <v>49</v>
      </c>
      <c r="B56" s="4" t="s">
        <v>87</v>
      </c>
      <c r="C56" s="19" t="s">
        <v>90</v>
      </c>
      <c r="D56" s="23">
        <v>31.616</v>
      </c>
      <c r="E56" s="33">
        <v>31.616</v>
      </c>
    </row>
    <row r="57" spans="1:5" ht="31.5" x14ac:dyDescent="0.25">
      <c r="A57" s="4">
        <v>50</v>
      </c>
      <c r="B57" s="4" t="s">
        <v>89</v>
      </c>
      <c r="C57" s="19" t="s">
        <v>76</v>
      </c>
      <c r="D57" s="23">
        <v>6.5564999999999998</v>
      </c>
      <c r="E57" s="33">
        <v>6.5564999999999998</v>
      </c>
    </row>
    <row r="58" spans="1:5" ht="31.5" x14ac:dyDescent="0.25">
      <c r="A58" s="4">
        <v>51</v>
      </c>
      <c r="B58" s="4" t="s">
        <v>91</v>
      </c>
      <c r="C58" s="19" t="s">
        <v>93</v>
      </c>
      <c r="D58" s="23">
        <v>3.6743299999999999</v>
      </c>
      <c r="E58" s="33">
        <v>3.6743299999999999</v>
      </c>
    </row>
    <row r="59" spans="1:5" ht="31.5" x14ac:dyDescent="0.25">
      <c r="A59" s="4">
        <v>52</v>
      </c>
      <c r="B59" s="4" t="s">
        <v>92</v>
      </c>
      <c r="C59" s="19" t="s">
        <v>76</v>
      </c>
      <c r="D59" s="18">
        <v>1.1160000000000001</v>
      </c>
      <c r="E59" s="33">
        <v>1.1160000000000001</v>
      </c>
    </row>
    <row r="60" spans="1:5" ht="15.75" x14ac:dyDescent="0.25">
      <c r="A60" s="4">
        <v>53</v>
      </c>
      <c r="B60" s="4" t="s">
        <v>94</v>
      </c>
      <c r="C60" s="19" t="s">
        <v>95</v>
      </c>
      <c r="D60" s="23">
        <v>3.2637700000000001</v>
      </c>
      <c r="E60" s="33">
        <v>3.2637700000000001</v>
      </c>
    </row>
    <row r="61" spans="1:5" ht="15.75" x14ac:dyDescent="0.25">
      <c r="A61" s="4">
        <v>54</v>
      </c>
      <c r="B61" s="7" t="s">
        <v>96</v>
      </c>
      <c r="C61" s="8" t="s">
        <v>401</v>
      </c>
      <c r="D61" s="27">
        <f>D62+D67+D68+D71+D72</f>
        <v>3685.3481900000006</v>
      </c>
      <c r="E61" s="27">
        <f>E62+E67+E68+E71+E72</f>
        <v>3890.8975700000001</v>
      </c>
    </row>
    <row r="62" spans="1:5" ht="15.75" x14ac:dyDescent="0.25">
      <c r="A62" s="4">
        <v>55</v>
      </c>
      <c r="B62" s="14" t="s">
        <v>97</v>
      </c>
      <c r="C62" s="11" t="s">
        <v>402</v>
      </c>
      <c r="D62" s="28">
        <f>D63+D65+D66+D64</f>
        <v>626.72917000000007</v>
      </c>
      <c r="E62" s="15">
        <f>E63+E65+E66+E64</f>
        <v>621.20660000000009</v>
      </c>
    </row>
    <row r="63" spans="1:5" ht="31.5" x14ac:dyDescent="0.25">
      <c r="A63" s="4">
        <v>56</v>
      </c>
      <c r="B63" s="4" t="s">
        <v>98</v>
      </c>
      <c r="C63" s="5" t="s">
        <v>99</v>
      </c>
      <c r="D63" s="12">
        <v>400</v>
      </c>
      <c r="E63" s="33">
        <v>412.93436000000003</v>
      </c>
    </row>
    <row r="64" spans="1:5" ht="15.75" x14ac:dyDescent="0.25">
      <c r="A64" s="4">
        <v>57</v>
      </c>
      <c r="B64" s="4" t="s">
        <v>100</v>
      </c>
      <c r="C64" s="5" t="s">
        <v>101</v>
      </c>
      <c r="D64" s="29">
        <f>23.47917+2.8</f>
        <v>26.279170000000001</v>
      </c>
      <c r="E64" s="33">
        <v>33.74944</v>
      </c>
    </row>
    <row r="65" spans="1:6" ht="15.75" x14ac:dyDescent="0.25">
      <c r="A65" s="4">
        <v>58</v>
      </c>
      <c r="B65" s="4" t="s">
        <v>102</v>
      </c>
      <c r="C65" s="5" t="s">
        <v>103</v>
      </c>
      <c r="D65" s="30">
        <v>44.45</v>
      </c>
      <c r="E65" s="33">
        <v>44.45</v>
      </c>
    </row>
    <row r="66" spans="1:6" ht="15.75" x14ac:dyDescent="0.25">
      <c r="A66" s="4">
        <v>59</v>
      </c>
      <c r="B66" s="4" t="s">
        <v>104</v>
      </c>
      <c r="C66" s="5" t="s">
        <v>105</v>
      </c>
      <c r="D66" s="12">
        <v>156</v>
      </c>
      <c r="E66" s="33">
        <v>130.0728</v>
      </c>
      <c r="F66" s="38"/>
    </row>
    <row r="67" spans="1:6" ht="15.75" x14ac:dyDescent="0.25">
      <c r="A67" s="4">
        <v>60</v>
      </c>
      <c r="B67" s="4" t="s">
        <v>106</v>
      </c>
      <c r="C67" s="5" t="s">
        <v>107</v>
      </c>
      <c r="D67" s="20">
        <f>1746.79815+13.12485+1.5</f>
        <v>1761.423</v>
      </c>
      <c r="E67" s="33">
        <v>1906.46299</v>
      </c>
    </row>
    <row r="68" spans="1:6" ht="15.75" x14ac:dyDescent="0.25">
      <c r="A68" s="4">
        <v>61</v>
      </c>
      <c r="B68" s="14" t="s">
        <v>108</v>
      </c>
      <c r="C68" s="11" t="s">
        <v>403</v>
      </c>
      <c r="D68" s="28">
        <f>D69+D70</f>
        <v>1088.4000000000001</v>
      </c>
      <c r="E68" s="28">
        <f>E69+E70</f>
        <v>1124.2670699999999</v>
      </c>
    </row>
    <row r="69" spans="1:6" ht="15.75" x14ac:dyDescent="0.25">
      <c r="A69" s="4">
        <v>62</v>
      </c>
      <c r="B69" s="4" t="s">
        <v>109</v>
      </c>
      <c r="C69" s="5" t="s">
        <v>110</v>
      </c>
      <c r="D69" s="12">
        <f>40+6.9</f>
        <v>46.9</v>
      </c>
      <c r="E69" s="33">
        <v>49.173850000000002</v>
      </c>
    </row>
    <row r="70" spans="1:6" ht="15.75" x14ac:dyDescent="0.25">
      <c r="A70" s="4">
        <v>63</v>
      </c>
      <c r="B70" s="4" t="s">
        <v>111</v>
      </c>
      <c r="C70" s="5" t="s">
        <v>112</v>
      </c>
      <c r="D70" s="30">
        <f>1000+41.5</f>
        <v>1041.5</v>
      </c>
      <c r="E70" s="33">
        <v>1075.09322</v>
      </c>
    </row>
    <row r="71" spans="1:6" ht="15.75" x14ac:dyDescent="0.25">
      <c r="A71" s="4">
        <v>64</v>
      </c>
      <c r="B71" s="4" t="s">
        <v>113</v>
      </c>
      <c r="C71" s="5" t="s">
        <v>114</v>
      </c>
      <c r="D71" s="12">
        <f>35.7+2.2</f>
        <v>37.900000000000006</v>
      </c>
      <c r="E71" s="33">
        <v>41.474040000000002</v>
      </c>
    </row>
    <row r="72" spans="1:6" ht="15.75" x14ac:dyDescent="0.25">
      <c r="A72" s="4">
        <v>65</v>
      </c>
      <c r="B72" s="4" t="s">
        <v>115</v>
      </c>
      <c r="C72" s="5" t="s">
        <v>116</v>
      </c>
      <c r="D72" s="29">
        <f>158.4+11.79602+0.7</f>
        <v>170.89601999999999</v>
      </c>
      <c r="E72" s="33">
        <v>197.48687000000001</v>
      </c>
    </row>
    <row r="73" spans="1:6" ht="31.5" x14ac:dyDescent="0.25">
      <c r="A73" s="4">
        <v>66</v>
      </c>
      <c r="B73" s="7" t="s">
        <v>117</v>
      </c>
      <c r="C73" s="31" t="s">
        <v>118</v>
      </c>
      <c r="D73" s="9">
        <f>65+48.4</f>
        <v>113.4</v>
      </c>
      <c r="E73" s="33">
        <v>139.18047999999999</v>
      </c>
    </row>
    <row r="74" spans="1:6" ht="31.5" x14ac:dyDescent="0.25">
      <c r="A74" s="4">
        <v>67</v>
      </c>
      <c r="B74" s="7"/>
      <c r="C74" s="8" t="s">
        <v>404</v>
      </c>
      <c r="D74" s="32">
        <f>D8+D18+D61+D73</f>
        <v>57283.362440000004</v>
      </c>
      <c r="E74" s="32">
        <f>E8+E18+E61+E73</f>
        <v>59323.744943999998</v>
      </c>
    </row>
    <row r="75" spans="1:6" ht="15.75" x14ac:dyDescent="0.25">
      <c r="A75" s="466">
        <v>68</v>
      </c>
      <c r="B75" s="466"/>
      <c r="C75" s="5" t="s">
        <v>119</v>
      </c>
      <c r="D75" s="29">
        <f>D76+D77+D78</f>
        <v>2413.97696</v>
      </c>
      <c r="E75" s="29">
        <f>E76+E77+E78</f>
        <v>2413.97696</v>
      </c>
    </row>
    <row r="76" spans="1:6" ht="15.75" x14ac:dyDescent="0.25">
      <c r="A76" s="467"/>
      <c r="B76" s="467"/>
      <c r="C76" s="5" t="s">
        <v>120</v>
      </c>
      <c r="D76" s="34">
        <v>234.10410999999999</v>
      </c>
      <c r="E76" s="34">
        <v>234.10410999999999</v>
      </c>
    </row>
    <row r="77" spans="1:6" ht="15.75" x14ac:dyDescent="0.25">
      <c r="A77" s="467"/>
      <c r="B77" s="467"/>
      <c r="C77" s="5" t="s">
        <v>121</v>
      </c>
      <c r="D77" s="34">
        <v>495.64854000000003</v>
      </c>
      <c r="E77" s="34">
        <v>495.64854000000003</v>
      </c>
    </row>
    <row r="78" spans="1:6" ht="15.75" x14ac:dyDescent="0.25">
      <c r="A78" s="467"/>
      <c r="B78" s="467"/>
      <c r="C78" s="22" t="s">
        <v>122</v>
      </c>
      <c r="D78" s="34">
        <v>1684.2243100000001</v>
      </c>
      <c r="E78" s="34">
        <v>1684.2243100000001</v>
      </c>
    </row>
    <row r="79" spans="1:6" ht="15.75" x14ac:dyDescent="0.25">
      <c r="A79" s="33">
        <v>69</v>
      </c>
      <c r="B79" s="33"/>
      <c r="C79" s="5" t="s">
        <v>123</v>
      </c>
      <c r="D79" s="24">
        <f>1067.7-402.0226</f>
        <v>665.67740000000003</v>
      </c>
      <c r="E79" s="33">
        <v>555.9</v>
      </c>
    </row>
    <row r="80" spans="1:6" ht="15.75" x14ac:dyDescent="0.25">
      <c r="A80" s="35">
        <v>70</v>
      </c>
      <c r="B80" s="35"/>
      <c r="C80" s="8" t="s">
        <v>124</v>
      </c>
      <c r="D80" s="36">
        <f>D74+D75+D79</f>
        <v>60363.016800000005</v>
      </c>
      <c r="E80" s="36">
        <f>E74+E75+E79</f>
        <v>62293.621904</v>
      </c>
    </row>
    <row r="81" spans="1:5" x14ac:dyDescent="0.25">
      <c r="A81" s="2"/>
      <c r="B81" s="2"/>
      <c r="C81" s="2"/>
      <c r="D81" s="2"/>
      <c r="E81" s="2"/>
    </row>
  </sheetData>
  <mergeCells count="3">
    <mergeCell ref="B3:E3"/>
    <mergeCell ref="A75:A78"/>
    <mergeCell ref="B75:B78"/>
  </mergeCells>
  <pageMargins left="0.23622047244094491" right="0" top="0.74803149606299213" bottom="0.74803149606299213" header="0.31496062992125984" footer="0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71A7-EA7C-4D9A-A707-AA2DD4A3EDA9}">
  <sheetPr>
    <pageSetUpPr fitToPage="1"/>
  </sheetPr>
  <dimension ref="A2:O188"/>
  <sheetViews>
    <sheetView topLeftCell="A158" zoomScaleNormal="100" workbookViewId="0">
      <selection activeCell="B183" sqref="B183:B187"/>
    </sheetView>
  </sheetViews>
  <sheetFormatPr defaultRowHeight="15" x14ac:dyDescent="0.25"/>
  <cols>
    <col min="1" max="1" width="4" style="160" bestFit="1" customWidth="1"/>
    <col min="2" max="2" width="46.85546875" style="160" bestFit="1" customWidth="1"/>
    <col min="3" max="3" width="14.85546875" style="160" bestFit="1" customWidth="1"/>
    <col min="4" max="4" width="16.28515625" style="160" customWidth="1"/>
    <col min="5" max="5" width="14.85546875" style="160" bestFit="1" customWidth="1"/>
    <col min="6" max="6" width="15.140625" style="160" customWidth="1"/>
    <col min="7" max="8" width="14.85546875" style="160" bestFit="1" customWidth="1"/>
    <col min="9" max="9" width="13.140625" style="160" customWidth="1"/>
    <col min="10" max="14" width="13.5703125" style="160" bestFit="1" customWidth="1"/>
    <col min="15" max="15" width="10.5703125" style="160" bestFit="1" customWidth="1"/>
    <col min="16" max="16384" width="9.140625" style="160"/>
  </cols>
  <sheetData>
    <row r="2" spans="1:14" ht="15.75" x14ac:dyDescent="0.25">
      <c r="A2" s="40" t="s">
        <v>132</v>
      </c>
      <c r="B2" s="472" t="s">
        <v>362</v>
      </c>
      <c r="C2" s="473"/>
      <c r="D2" s="473"/>
      <c r="E2" s="473"/>
      <c r="F2" s="473"/>
      <c r="G2" s="473"/>
      <c r="H2" s="473"/>
      <c r="I2" s="474"/>
      <c r="J2" s="474"/>
      <c r="K2" s="474"/>
      <c r="L2" s="1"/>
      <c r="M2" s="149"/>
      <c r="N2" s="149"/>
    </row>
    <row r="3" spans="1:14" ht="15.75" x14ac:dyDescent="0.25">
      <c r="B3" s="149"/>
      <c r="C3" s="475"/>
      <c r="D3" s="475"/>
      <c r="E3" s="475"/>
      <c r="F3" s="475"/>
      <c r="G3" s="149"/>
      <c r="H3" s="149"/>
      <c r="I3" s="149"/>
      <c r="J3" s="149"/>
      <c r="K3" s="149"/>
      <c r="L3" s="149"/>
      <c r="M3" s="149"/>
      <c r="N3" s="149"/>
    </row>
    <row r="4" spans="1:14" ht="15.75" x14ac:dyDescent="0.25">
      <c r="B4" s="149"/>
      <c r="C4" s="311"/>
      <c r="D4" s="311"/>
      <c r="E4" s="311"/>
      <c r="F4" s="311"/>
      <c r="G4" s="149"/>
      <c r="H4" s="149"/>
      <c r="I4" s="149"/>
      <c r="J4" s="149"/>
      <c r="K4" s="149"/>
      <c r="L4" s="149"/>
      <c r="M4" s="149"/>
      <c r="N4" s="149"/>
    </row>
    <row r="5" spans="1:14" ht="16.5" thickBot="1" x14ac:dyDescent="0.3">
      <c r="A5" s="41"/>
      <c r="B5" s="312"/>
      <c r="C5" s="312"/>
      <c r="D5" s="312"/>
      <c r="E5" s="312"/>
      <c r="F5" s="312"/>
      <c r="G5" s="312"/>
      <c r="H5" s="312"/>
      <c r="I5" s="312"/>
      <c r="J5" s="312" t="s">
        <v>133</v>
      </c>
      <c r="K5" s="312"/>
      <c r="L5" s="312"/>
      <c r="M5" s="312"/>
      <c r="N5" s="312"/>
    </row>
    <row r="6" spans="1:14" x14ac:dyDescent="0.25">
      <c r="A6" s="476" t="s">
        <v>134</v>
      </c>
      <c r="B6" s="478" t="s">
        <v>135</v>
      </c>
      <c r="C6" s="468" t="s">
        <v>136</v>
      </c>
      <c r="D6" s="469"/>
      <c r="E6" s="468" t="s">
        <v>137</v>
      </c>
      <c r="F6" s="469"/>
      <c r="G6" s="468" t="s">
        <v>138</v>
      </c>
      <c r="H6" s="469"/>
      <c r="I6" s="468" t="s">
        <v>139</v>
      </c>
      <c r="J6" s="469"/>
      <c r="K6" s="468" t="s">
        <v>140</v>
      </c>
      <c r="L6" s="470"/>
      <c r="M6" s="468" t="s">
        <v>141</v>
      </c>
      <c r="N6" s="471"/>
    </row>
    <row r="7" spans="1:14" ht="30.75" thickBot="1" x14ac:dyDescent="0.3">
      <c r="A7" s="477"/>
      <c r="B7" s="479"/>
      <c r="C7" s="313" t="s">
        <v>310</v>
      </c>
      <c r="D7" s="314" t="s">
        <v>309</v>
      </c>
      <c r="E7" s="315" t="s">
        <v>310</v>
      </c>
      <c r="F7" s="316" t="s">
        <v>309</v>
      </c>
      <c r="G7" s="313" t="s">
        <v>310</v>
      </c>
      <c r="H7" s="314" t="s">
        <v>309</v>
      </c>
      <c r="I7" s="313" t="s">
        <v>310</v>
      </c>
      <c r="J7" s="314" t="s">
        <v>309</v>
      </c>
      <c r="K7" s="313" t="s">
        <v>310</v>
      </c>
      <c r="L7" s="314" t="s">
        <v>309</v>
      </c>
      <c r="M7" s="315" t="s">
        <v>310</v>
      </c>
      <c r="N7" s="316" t="s">
        <v>309</v>
      </c>
    </row>
    <row r="8" spans="1:14" ht="16.5" thickBot="1" x14ac:dyDescent="0.3">
      <c r="A8" s="306">
        <v>1</v>
      </c>
      <c r="B8" s="317" t="s">
        <v>142</v>
      </c>
      <c r="C8" s="318">
        <f>E8+G8+I8+K8+M8</f>
        <v>228.95699999999999</v>
      </c>
      <c r="D8" s="319">
        <f>F8+H8+J8+L8+N8</f>
        <v>228.95699999999999</v>
      </c>
      <c r="E8" s="320">
        <f>E9</f>
        <v>228.95699999999999</v>
      </c>
      <c r="F8" s="321">
        <f>F9</f>
        <v>228.95699999999999</v>
      </c>
      <c r="G8" s="322"/>
      <c r="H8" s="323"/>
      <c r="I8" s="322"/>
      <c r="J8" s="323"/>
      <c r="K8" s="322"/>
      <c r="L8" s="323"/>
      <c r="M8" s="324"/>
      <c r="N8" s="323"/>
    </row>
    <row r="9" spans="1:14" ht="16.5" thickBot="1" x14ac:dyDescent="0.3">
      <c r="A9" s="307">
        <v>2</v>
      </c>
      <c r="B9" s="325" t="s">
        <v>143</v>
      </c>
      <c r="C9" s="326">
        <f t="shared" ref="C9:D72" si="0">E9+G9+I9+K9+M9</f>
        <v>228.95699999999999</v>
      </c>
      <c r="D9" s="327">
        <f t="shared" si="0"/>
        <v>228.95699999999999</v>
      </c>
      <c r="E9" s="328">
        <f>188.957+42-2</f>
        <v>228.95699999999999</v>
      </c>
      <c r="F9" s="329">
        <v>228.95699999999999</v>
      </c>
      <c r="G9" s="330"/>
      <c r="H9" s="331"/>
      <c r="I9" s="330"/>
      <c r="J9" s="331"/>
      <c r="K9" s="330"/>
      <c r="L9" s="332"/>
      <c r="M9" s="333"/>
      <c r="N9" s="334"/>
    </row>
    <row r="10" spans="1:14" ht="16.5" thickBot="1" x14ac:dyDescent="0.3">
      <c r="A10" s="308">
        <f>A9+1</f>
        <v>3</v>
      </c>
      <c r="B10" s="335" t="s">
        <v>144</v>
      </c>
      <c r="C10" s="318">
        <f t="shared" si="0"/>
        <v>6637.9335199999996</v>
      </c>
      <c r="D10" s="319">
        <f>F10+H10+J10+L10+N10</f>
        <v>6634.9806599999993</v>
      </c>
      <c r="E10" s="336">
        <f>SUM(E11:E18)</f>
        <v>4972.262999999999</v>
      </c>
      <c r="F10" s="337">
        <f>SUM(F11:F18)</f>
        <v>4972.2600399999992</v>
      </c>
      <c r="G10" s="318">
        <f>SUM(G11:G15)</f>
        <v>604.86641999999995</v>
      </c>
      <c r="H10" s="318">
        <f>SUM(H11:H18)</f>
        <v>609.62623999999994</v>
      </c>
      <c r="I10" s="338"/>
      <c r="J10" s="319"/>
      <c r="K10" s="339"/>
      <c r="L10" s="319"/>
      <c r="M10" s="340">
        <f>SUM(M11:M18)</f>
        <v>1060.8041000000001</v>
      </c>
      <c r="N10" s="319">
        <f>SUM(N11:N18)</f>
        <v>1053.09438</v>
      </c>
    </row>
    <row r="11" spans="1:14" ht="15.75" x14ac:dyDescent="0.25">
      <c r="A11" s="305">
        <f t="shared" ref="A11:A74" si="1">A10+1</f>
        <v>4</v>
      </c>
      <c r="B11" s="341" t="s">
        <v>145</v>
      </c>
      <c r="C11" s="342">
        <f t="shared" si="0"/>
        <v>5121.5224199999993</v>
      </c>
      <c r="D11" s="343">
        <f t="shared" si="0"/>
        <v>5120.2196800000002</v>
      </c>
      <c r="E11" s="344">
        <f>4618.056+4.5</f>
        <v>4622.5559999999996</v>
      </c>
      <c r="F11" s="345">
        <v>4622.5559899999998</v>
      </c>
      <c r="G11" s="346">
        <f>497.02362-0.265+0.09693+0.1049-0.1+2+0.10597</f>
        <v>498.96641999999997</v>
      </c>
      <c r="H11" s="347">
        <v>497.66368999999997</v>
      </c>
      <c r="I11" s="346"/>
      <c r="J11" s="347"/>
      <c r="K11" s="346"/>
      <c r="L11" s="348"/>
      <c r="M11" s="346"/>
      <c r="N11" s="347"/>
    </row>
    <row r="12" spans="1:14" ht="15.75" x14ac:dyDescent="0.25">
      <c r="A12" s="44">
        <f t="shared" si="1"/>
        <v>5</v>
      </c>
      <c r="B12" s="349" t="s">
        <v>146</v>
      </c>
      <c r="C12" s="350">
        <f t="shared" si="0"/>
        <v>115.785</v>
      </c>
      <c r="D12" s="351">
        <f t="shared" si="0"/>
        <v>115.785</v>
      </c>
      <c r="E12" s="352">
        <f>100.785+15</f>
        <v>115.785</v>
      </c>
      <c r="F12" s="353">
        <v>115.785</v>
      </c>
      <c r="G12" s="354"/>
      <c r="H12" s="353"/>
      <c r="I12" s="354"/>
      <c r="J12" s="353"/>
      <c r="K12" s="354"/>
      <c r="L12" s="355"/>
      <c r="M12" s="354"/>
      <c r="N12" s="353"/>
    </row>
    <row r="13" spans="1:14" ht="15.75" x14ac:dyDescent="0.25">
      <c r="A13" s="44">
        <f t="shared" si="1"/>
        <v>6</v>
      </c>
      <c r="B13" s="349" t="s">
        <v>147</v>
      </c>
      <c r="C13" s="350">
        <f t="shared" si="0"/>
        <v>0</v>
      </c>
      <c r="D13" s="351">
        <f t="shared" si="0"/>
        <v>0</v>
      </c>
      <c r="E13" s="352">
        <f>37.39772-30-7.39772</f>
        <v>0</v>
      </c>
      <c r="F13" s="353">
        <v>0</v>
      </c>
      <c r="G13" s="354"/>
      <c r="H13" s="353"/>
      <c r="I13" s="354"/>
      <c r="J13" s="353"/>
      <c r="K13" s="354"/>
      <c r="L13" s="355"/>
      <c r="M13" s="354"/>
      <c r="N13" s="353"/>
    </row>
    <row r="14" spans="1:14" ht="15.75" x14ac:dyDescent="0.25">
      <c r="A14" s="44">
        <f t="shared" si="1"/>
        <v>7</v>
      </c>
      <c r="B14" s="356" t="s">
        <v>148</v>
      </c>
      <c r="C14" s="350">
        <f t="shared" si="0"/>
        <v>142.172</v>
      </c>
      <c r="D14" s="351">
        <f t="shared" si="0"/>
        <v>142.172</v>
      </c>
      <c r="E14" s="357">
        <v>136.27199999999999</v>
      </c>
      <c r="F14" s="358">
        <v>136.27199999999999</v>
      </c>
      <c r="G14" s="354">
        <v>5.9</v>
      </c>
      <c r="H14" s="353">
        <v>5.9</v>
      </c>
      <c r="I14" s="354"/>
      <c r="J14" s="353"/>
      <c r="K14" s="354"/>
      <c r="L14" s="355"/>
      <c r="M14" s="354"/>
      <c r="N14" s="353"/>
    </row>
    <row r="15" spans="1:14" ht="15.75" x14ac:dyDescent="0.25">
      <c r="A15" s="44">
        <f t="shared" si="1"/>
        <v>8</v>
      </c>
      <c r="B15" s="349" t="s">
        <v>149</v>
      </c>
      <c r="C15" s="350">
        <f t="shared" si="0"/>
        <v>100</v>
      </c>
      <c r="D15" s="351">
        <f t="shared" si="0"/>
        <v>98.860550000000003</v>
      </c>
      <c r="E15" s="352"/>
      <c r="F15" s="353"/>
      <c r="G15" s="354">
        <v>100</v>
      </c>
      <c r="H15" s="353">
        <v>98.860550000000003</v>
      </c>
      <c r="I15" s="354"/>
      <c r="J15" s="353"/>
      <c r="K15" s="354"/>
      <c r="L15" s="355"/>
      <c r="M15" s="354"/>
      <c r="N15" s="353"/>
    </row>
    <row r="16" spans="1:14" ht="60" x14ac:dyDescent="0.25">
      <c r="A16" s="44">
        <f t="shared" si="1"/>
        <v>9</v>
      </c>
      <c r="B16" s="359" t="s">
        <v>150</v>
      </c>
      <c r="C16" s="350">
        <f t="shared" si="0"/>
        <v>17.649999999999999</v>
      </c>
      <c r="D16" s="351">
        <f t="shared" si="0"/>
        <v>17.64705</v>
      </c>
      <c r="E16" s="352">
        <v>17.649999999999999</v>
      </c>
      <c r="F16" s="353">
        <v>17.64705</v>
      </c>
      <c r="G16" s="354"/>
      <c r="H16" s="353"/>
      <c r="I16" s="354"/>
      <c r="J16" s="353"/>
      <c r="K16" s="354"/>
      <c r="L16" s="355"/>
      <c r="M16" s="354"/>
      <c r="N16" s="353"/>
    </row>
    <row r="17" spans="1:15" ht="15.75" x14ac:dyDescent="0.25">
      <c r="A17" s="44">
        <f t="shared" si="1"/>
        <v>10</v>
      </c>
      <c r="B17" s="359" t="s">
        <v>151</v>
      </c>
      <c r="C17" s="350">
        <f t="shared" si="0"/>
        <v>80</v>
      </c>
      <c r="D17" s="351">
        <f t="shared" si="0"/>
        <v>80</v>
      </c>
      <c r="E17" s="352">
        <v>80</v>
      </c>
      <c r="F17" s="353">
        <v>80</v>
      </c>
      <c r="G17" s="354"/>
      <c r="H17" s="353"/>
      <c r="I17" s="354"/>
      <c r="J17" s="353"/>
      <c r="K17" s="354"/>
      <c r="L17" s="355"/>
      <c r="M17" s="354"/>
      <c r="N17" s="353"/>
    </row>
    <row r="18" spans="1:15" ht="30.75" thickBot="1" x14ac:dyDescent="0.3">
      <c r="A18" s="44">
        <f t="shared" si="1"/>
        <v>11</v>
      </c>
      <c r="B18" s="360" t="s">
        <v>152</v>
      </c>
      <c r="C18" s="361">
        <f t="shared" si="0"/>
        <v>1068.0061000000001</v>
      </c>
      <c r="D18" s="362">
        <f t="shared" si="0"/>
        <v>1060.29638</v>
      </c>
      <c r="E18" s="363"/>
      <c r="F18" s="364"/>
      <c r="G18" s="365">
        <v>7.202</v>
      </c>
      <c r="H18" s="364">
        <v>7.202</v>
      </c>
      <c r="I18" s="365"/>
      <c r="J18" s="364"/>
      <c r="K18" s="365"/>
      <c r="L18" s="366"/>
      <c r="M18" s="365">
        <f>1055.7781+5.026</f>
        <v>1060.8041000000001</v>
      </c>
      <c r="N18" s="364">
        <v>1053.09438</v>
      </c>
      <c r="O18" s="301"/>
    </row>
    <row r="19" spans="1:15" ht="16.5" thickBot="1" x14ac:dyDescent="0.3">
      <c r="A19" s="47">
        <f t="shared" si="1"/>
        <v>12</v>
      </c>
      <c r="B19" s="367" t="s">
        <v>153</v>
      </c>
      <c r="C19" s="318">
        <f t="shared" si="0"/>
        <v>113.559</v>
      </c>
      <c r="D19" s="319">
        <f t="shared" si="0"/>
        <v>113.38652</v>
      </c>
      <c r="E19" s="336">
        <f>100.559+13</f>
        <v>113.559</v>
      </c>
      <c r="F19" s="319">
        <v>113.38652</v>
      </c>
      <c r="G19" s="318"/>
      <c r="H19" s="319"/>
      <c r="I19" s="318"/>
      <c r="J19" s="319"/>
      <c r="K19" s="318"/>
      <c r="L19" s="338"/>
      <c r="M19" s="318"/>
      <c r="N19" s="319"/>
    </row>
    <row r="20" spans="1:15" ht="32.25" thickBot="1" x14ac:dyDescent="0.3">
      <c r="A20" s="47">
        <f t="shared" si="1"/>
        <v>13</v>
      </c>
      <c r="B20" s="368" t="s">
        <v>154</v>
      </c>
      <c r="C20" s="318">
        <f t="shared" si="0"/>
        <v>8620.4824800000006</v>
      </c>
      <c r="D20" s="319">
        <f t="shared" si="0"/>
        <v>8557.8589900000006</v>
      </c>
      <c r="E20" s="340">
        <f>SUM(E21:E47)</f>
        <v>4067.92328</v>
      </c>
      <c r="F20" s="319">
        <f>SUM(F21:F47)</f>
        <v>4067.3437299999996</v>
      </c>
      <c r="G20" s="318">
        <f>SUM(G21:G47)</f>
        <v>4552.5592000000006</v>
      </c>
      <c r="H20" s="339">
        <f>SUM(H21:H47)</f>
        <v>4490.5152600000001</v>
      </c>
      <c r="I20" s="318"/>
      <c r="J20" s="319"/>
      <c r="K20" s="336"/>
      <c r="L20" s="338"/>
      <c r="M20" s="318"/>
      <c r="N20" s="319"/>
    </row>
    <row r="21" spans="1:15" ht="15.75" x14ac:dyDescent="0.25">
      <c r="A21" s="44">
        <f t="shared" si="1"/>
        <v>14</v>
      </c>
      <c r="B21" s="369" t="s">
        <v>155</v>
      </c>
      <c r="C21" s="342">
        <f t="shared" si="0"/>
        <v>2637.19</v>
      </c>
      <c r="D21" s="343">
        <f t="shared" si="0"/>
        <v>2636.8939</v>
      </c>
      <c r="E21" s="370">
        <f>960+9.781</f>
        <v>969.78099999999995</v>
      </c>
      <c r="F21" s="347">
        <v>969.48490000000004</v>
      </c>
      <c r="G21" s="346">
        <f>1337.409+330</f>
        <v>1667.4090000000001</v>
      </c>
      <c r="H21" s="347">
        <v>1667.4090000000001</v>
      </c>
      <c r="I21" s="346"/>
      <c r="J21" s="347"/>
      <c r="K21" s="346"/>
      <c r="L21" s="348"/>
      <c r="M21" s="346"/>
      <c r="N21" s="347"/>
    </row>
    <row r="22" spans="1:15" ht="15.75" x14ac:dyDescent="0.25">
      <c r="A22" s="44">
        <f t="shared" si="1"/>
        <v>15</v>
      </c>
      <c r="B22" s="359" t="s">
        <v>156</v>
      </c>
      <c r="C22" s="350">
        <f t="shared" si="0"/>
        <v>70</v>
      </c>
      <c r="D22" s="351">
        <f t="shared" si="0"/>
        <v>70</v>
      </c>
      <c r="E22" s="352">
        <v>70</v>
      </c>
      <c r="F22" s="353">
        <v>70</v>
      </c>
      <c r="G22" s="354"/>
      <c r="H22" s="353"/>
      <c r="I22" s="354"/>
      <c r="J22" s="353"/>
      <c r="K22" s="354"/>
      <c r="L22" s="355"/>
      <c r="M22" s="354"/>
      <c r="N22" s="353"/>
    </row>
    <row r="23" spans="1:15" ht="15.75" x14ac:dyDescent="0.25">
      <c r="A23" s="44">
        <f t="shared" si="1"/>
        <v>16</v>
      </c>
      <c r="B23" s="359" t="s">
        <v>157</v>
      </c>
      <c r="C23" s="350">
        <f t="shared" si="0"/>
        <v>119.89400000000001</v>
      </c>
      <c r="D23" s="351">
        <f t="shared" si="0"/>
        <v>119.89377</v>
      </c>
      <c r="E23" s="352">
        <f>84+40-4.106</f>
        <v>119.89400000000001</v>
      </c>
      <c r="F23" s="353">
        <v>119.89377</v>
      </c>
      <c r="G23" s="354"/>
      <c r="H23" s="353"/>
      <c r="I23" s="354"/>
      <c r="J23" s="353"/>
      <c r="K23" s="354"/>
      <c r="L23" s="355"/>
      <c r="M23" s="354"/>
      <c r="N23" s="353"/>
    </row>
    <row r="24" spans="1:15" ht="15.75" x14ac:dyDescent="0.25">
      <c r="A24" s="44">
        <f t="shared" si="1"/>
        <v>17</v>
      </c>
      <c r="B24" s="359" t="s">
        <v>158</v>
      </c>
      <c r="C24" s="350">
        <f t="shared" si="0"/>
        <v>17.943999999999999</v>
      </c>
      <c r="D24" s="351">
        <f t="shared" si="0"/>
        <v>17.943950000000001</v>
      </c>
      <c r="E24" s="352">
        <f>10+7.944</f>
        <v>17.943999999999999</v>
      </c>
      <c r="F24" s="353">
        <v>17.943950000000001</v>
      </c>
      <c r="G24" s="354"/>
      <c r="H24" s="353"/>
      <c r="I24" s="354"/>
      <c r="J24" s="353"/>
      <c r="K24" s="354"/>
      <c r="L24" s="355"/>
      <c r="M24" s="354"/>
      <c r="N24" s="353"/>
    </row>
    <row r="25" spans="1:15" ht="15.75" x14ac:dyDescent="0.25">
      <c r="A25" s="44">
        <f t="shared" si="1"/>
        <v>18</v>
      </c>
      <c r="B25" s="359" t="s">
        <v>159</v>
      </c>
      <c r="C25" s="350">
        <f t="shared" si="0"/>
        <v>100.00667</v>
      </c>
      <c r="D25" s="351">
        <f t="shared" si="0"/>
        <v>95.576930000000004</v>
      </c>
      <c r="E25" s="352"/>
      <c r="F25" s="353"/>
      <c r="G25" s="371">
        <f>109.309+0.69767-10</f>
        <v>100.00667</v>
      </c>
      <c r="H25" s="372">
        <v>95.576930000000004</v>
      </c>
      <c r="I25" s="354"/>
      <c r="J25" s="353"/>
      <c r="K25" s="354"/>
      <c r="L25" s="355"/>
      <c r="M25" s="354"/>
      <c r="N25" s="353"/>
    </row>
    <row r="26" spans="1:15" ht="15.75" x14ac:dyDescent="0.25">
      <c r="A26" s="44">
        <f t="shared" si="1"/>
        <v>19</v>
      </c>
      <c r="B26" s="359" t="s">
        <v>160</v>
      </c>
      <c r="C26" s="350">
        <f t="shared" si="0"/>
        <v>469.8</v>
      </c>
      <c r="D26" s="351">
        <f t="shared" si="0"/>
        <v>464.26945000000001</v>
      </c>
      <c r="E26" s="352"/>
      <c r="F26" s="353"/>
      <c r="G26" s="354">
        <f>508.1-38.3</f>
        <v>469.8</v>
      </c>
      <c r="H26" s="353">
        <v>464.26945000000001</v>
      </c>
      <c r="I26" s="354"/>
      <c r="J26" s="353"/>
      <c r="K26" s="354"/>
      <c r="L26" s="355"/>
      <c r="M26" s="354"/>
      <c r="N26" s="353"/>
    </row>
    <row r="27" spans="1:15" ht="30" x14ac:dyDescent="0.25">
      <c r="A27" s="44">
        <f t="shared" si="1"/>
        <v>20</v>
      </c>
      <c r="B27" s="359" t="s">
        <v>161</v>
      </c>
      <c r="C27" s="350">
        <f t="shared" si="0"/>
        <v>5</v>
      </c>
      <c r="D27" s="351">
        <f t="shared" si="0"/>
        <v>3.84917</v>
      </c>
      <c r="E27" s="352"/>
      <c r="F27" s="353"/>
      <c r="G27" s="354">
        <v>5</v>
      </c>
      <c r="H27" s="353">
        <v>3.84917</v>
      </c>
      <c r="I27" s="354"/>
      <c r="J27" s="353"/>
      <c r="K27" s="354"/>
      <c r="L27" s="355"/>
      <c r="M27" s="354"/>
      <c r="N27" s="353"/>
    </row>
    <row r="28" spans="1:15" ht="30" x14ac:dyDescent="0.25">
      <c r="A28" s="44">
        <f t="shared" si="1"/>
        <v>21</v>
      </c>
      <c r="B28" s="359" t="s">
        <v>162</v>
      </c>
      <c r="C28" s="350">
        <f t="shared" si="0"/>
        <v>5.5</v>
      </c>
      <c r="D28" s="351">
        <f t="shared" si="0"/>
        <v>5.2873000000000001</v>
      </c>
      <c r="E28" s="352">
        <f>5+0.5</f>
        <v>5.5</v>
      </c>
      <c r="F28" s="353">
        <v>5.2873000000000001</v>
      </c>
      <c r="G28" s="354"/>
      <c r="H28" s="353"/>
      <c r="I28" s="354"/>
      <c r="J28" s="353"/>
      <c r="K28" s="354"/>
      <c r="L28" s="355"/>
      <c r="M28" s="354"/>
      <c r="N28" s="353"/>
    </row>
    <row r="29" spans="1:15" ht="15.75" x14ac:dyDescent="0.25">
      <c r="A29" s="44">
        <f t="shared" si="1"/>
        <v>22</v>
      </c>
      <c r="B29" s="359" t="s">
        <v>163</v>
      </c>
      <c r="C29" s="350">
        <f t="shared" si="0"/>
        <v>1225.5</v>
      </c>
      <c r="D29" s="351">
        <f t="shared" si="0"/>
        <v>1201.84257</v>
      </c>
      <c r="E29" s="352"/>
      <c r="F29" s="353"/>
      <c r="G29" s="354">
        <f>744.9+314.5+166.1</f>
        <v>1225.5</v>
      </c>
      <c r="H29" s="353">
        <v>1201.84257</v>
      </c>
      <c r="I29" s="354"/>
      <c r="J29" s="353"/>
      <c r="K29" s="354"/>
      <c r="L29" s="355"/>
      <c r="M29" s="354"/>
      <c r="N29" s="353"/>
    </row>
    <row r="30" spans="1:15" ht="15.75" x14ac:dyDescent="0.25">
      <c r="A30" s="44">
        <f t="shared" si="1"/>
        <v>23</v>
      </c>
      <c r="B30" s="359" t="s">
        <v>164</v>
      </c>
      <c r="C30" s="350">
        <f t="shared" si="0"/>
        <v>2600.2809999999999</v>
      </c>
      <c r="D30" s="351">
        <f t="shared" si="0"/>
        <v>2600.2809999999999</v>
      </c>
      <c r="E30" s="352">
        <f>1890+20.34</f>
        <v>1910.34</v>
      </c>
      <c r="F30" s="353">
        <v>1910.34</v>
      </c>
      <c r="G30" s="354">
        <f>1825.7-330-805.759</f>
        <v>689.94100000000003</v>
      </c>
      <c r="H30" s="353">
        <v>689.94100000000003</v>
      </c>
      <c r="I30" s="354"/>
      <c r="J30" s="353"/>
      <c r="K30" s="354"/>
      <c r="L30" s="355"/>
      <c r="M30" s="354"/>
      <c r="N30" s="353"/>
    </row>
    <row r="31" spans="1:15" ht="30" x14ac:dyDescent="0.25">
      <c r="A31" s="44">
        <f t="shared" si="1"/>
        <v>24</v>
      </c>
      <c r="B31" s="359" t="s">
        <v>165</v>
      </c>
      <c r="C31" s="350">
        <f t="shared" si="0"/>
        <v>26.154</v>
      </c>
      <c r="D31" s="351">
        <f t="shared" si="0"/>
        <v>26.15335</v>
      </c>
      <c r="E31" s="352">
        <f>24.807+1.347</f>
        <v>26.154</v>
      </c>
      <c r="F31" s="353">
        <v>26.15335</v>
      </c>
      <c r="G31" s="354"/>
      <c r="H31" s="353"/>
      <c r="I31" s="354"/>
      <c r="J31" s="353"/>
      <c r="K31" s="354"/>
      <c r="L31" s="355"/>
      <c r="M31" s="354"/>
      <c r="N31" s="353"/>
    </row>
    <row r="32" spans="1:15" ht="30" x14ac:dyDescent="0.25">
      <c r="A32" s="44">
        <f t="shared" si="1"/>
        <v>25</v>
      </c>
      <c r="B32" s="359" t="s">
        <v>166</v>
      </c>
      <c r="C32" s="350">
        <f t="shared" si="0"/>
        <v>8.34</v>
      </c>
      <c r="D32" s="351">
        <f t="shared" si="0"/>
        <v>8.34</v>
      </c>
      <c r="E32" s="352">
        <f>10-1.66</f>
        <v>8.34</v>
      </c>
      <c r="F32" s="353">
        <v>8.34</v>
      </c>
      <c r="G32" s="354"/>
      <c r="H32" s="353"/>
      <c r="I32" s="354"/>
      <c r="J32" s="353"/>
      <c r="K32" s="354"/>
      <c r="L32" s="355"/>
      <c r="M32" s="354"/>
      <c r="N32" s="353"/>
    </row>
    <row r="33" spans="1:14" ht="15.75" x14ac:dyDescent="0.25">
      <c r="A33" s="44">
        <f t="shared" si="1"/>
        <v>26</v>
      </c>
      <c r="B33" s="359" t="s">
        <v>167</v>
      </c>
      <c r="C33" s="350">
        <f t="shared" si="0"/>
        <v>114</v>
      </c>
      <c r="D33" s="351">
        <f t="shared" si="0"/>
        <v>114</v>
      </c>
      <c r="E33" s="352">
        <f>110+4</f>
        <v>114</v>
      </c>
      <c r="F33" s="353">
        <v>114</v>
      </c>
      <c r="G33" s="354"/>
      <c r="H33" s="353"/>
      <c r="I33" s="354"/>
      <c r="J33" s="353"/>
      <c r="K33" s="354"/>
      <c r="L33" s="355"/>
      <c r="M33" s="354"/>
      <c r="N33" s="353"/>
    </row>
    <row r="34" spans="1:14" ht="30" x14ac:dyDescent="0.25">
      <c r="A34" s="44">
        <f t="shared" si="1"/>
        <v>27</v>
      </c>
      <c r="B34" s="359" t="s">
        <v>168</v>
      </c>
      <c r="C34" s="350">
        <f t="shared" si="0"/>
        <v>2.234</v>
      </c>
      <c r="D34" s="351">
        <f t="shared" si="0"/>
        <v>2.1659899999999999</v>
      </c>
      <c r="E34" s="352">
        <f>7-4.766</f>
        <v>2.234</v>
      </c>
      <c r="F34" s="353">
        <v>2.1659899999999999</v>
      </c>
      <c r="G34" s="354"/>
      <c r="H34" s="353"/>
      <c r="I34" s="354"/>
      <c r="J34" s="353"/>
      <c r="K34" s="354"/>
      <c r="L34" s="355"/>
      <c r="M34" s="354"/>
      <c r="N34" s="353"/>
    </row>
    <row r="35" spans="1:14" ht="30" x14ac:dyDescent="0.25">
      <c r="A35" s="44">
        <f t="shared" si="1"/>
        <v>28</v>
      </c>
      <c r="B35" s="359" t="s">
        <v>169</v>
      </c>
      <c r="C35" s="350">
        <f t="shared" si="0"/>
        <v>574</v>
      </c>
      <c r="D35" s="351">
        <f t="shared" si="0"/>
        <v>574</v>
      </c>
      <c r="E35" s="352">
        <f>414+160</f>
        <v>574</v>
      </c>
      <c r="F35" s="353">
        <v>574</v>
      </c>
      <c r="G35" s="354"/>
      <c r="H35" s="353"/>
      <c r="I35" s="354"/>
      <c r="J35" s="353"/>
      <c r="K35" s="354"/>
      <c r="L35" s="355"/>
      <c r="M35" s="354"/>
      <c r="N35" s="353"/>
    </row>
    <row r="36" spans="1:14" ht="30" x14ac:dyDescent="0.25">
      <c r="A36" s="44">
        <f t="shared" si="1"/>
        <v>29</v>
      </c>
      <c r="B36" s="359" t="s">
        <v>170</v>
      </c>
      <c r="C36" s="350">
        <f t="shared" si="0"/>
        <v>176.1</v>
      </c>
      <c r="D36" s="351">
        <f t="shared" si="0"/>
        <v>176.04311999999999</v>
      </c>
      <c r="E36" s="352"/>
      <c r="F36" s="353"/>
      <c r="G36" s="354">
        <f>178.6-2.5</f>
        <v>176.1</v>
      </c>
      <c r="H36" s="353">
        <v>176.04311999999999</v>
      </c>
      <c r="I36" s="354"/>
      <c r="J36" s="353"/>
      <c r="K36" s="354"/>
      <c r="L36" s="355"/>
      <c r="M36" s="354"/>
      <c r="N36" s="353"/>
    </row>
    <row r="37" spans="1:14" ht="45" x14ac:dyDescent="0.25">
      <c r="A37" s="44">
        <f t="shared" si="1"/>
        <v>30</v>
      </c>
      <c r="B37" s="359" t="s">
        <v>171</v>
      </c>
      <c r="C37" s="350">
        <f t="shared" si="0"/>
        <v>89.640999999999991</v>
      </c>
      <c r="D37" s="351">
        <f t="shared" si="0"/>
        <v>82.792500000000004</v>
      </c>
      <c r="E37" s="352"/>
      <c r="F37" s="353"/>
      <c r="G37" s="354">
        <f>107.07-8.59-8.839</f>
        <v>89.640999999999991</v>
      </c>
      <c r="H37" s="353">
        <v>82.792500000000004</v>
      </c>
      <c r="I37" s="354"/>
      <c r="J37" s="353"/>
      <c r="K37" s="354"/>
      <c r="L37" s="355"/>
      <c r="M37" s="354"/>
      <c r="N37" s="353"/>
    </row>
    <row r="38" spans="1:14" ht="30" x14ac:dyDescent="0.25">
      <c r="A38" s="44">
        <f t="shared" si="1"/>
        <v>31</v>
      </c>
      <c r="B38" s="359" t="s">
        <v>51</v>
      </c>
      <c r="C38" s="350">
        <f t="shared" si="0"/>
        <v>24.678999999999998</v>
      </c>
      <c r="D38" s="351">
        <f t="shared" si="0"/>
        <v>14.56076</v>
      </c>
      <c r="E38" s="352"/>
      <c r="F38" s="353"/>
      <c r="G38" s="354">
        <v>24.678999999999998</v>
      </c>
      <c r="H38" s="353">
        <v>14.56076</v>
      </c>
      <c r="I38" s="354"/>
      <c r="J38" s="353"/>
      <c r="K38" s="354"/>
      <c r="L38" s="355"/>
      <c r="M38" s="354"/>
      <c r="N38" s="353"/>
    </row>
    <row r="39" spans="1:14" ht="15.75" x14ac:dyDescent="0.25">
      <c r="A39" s="44">
        <f t="shared" si="1"/>
        <v>32</v>
      </c>
      <c r="B39" s="359" t="s">
        <v>172</v>
      </c>
      <c r="C39" s="350">
        <f t="shared" si="0"/>
        <v>109.443</v>
      </c>
      <c r="D39" s="351">
        <f t="shared" si="0"/>
        <v>109.44204000000001</v>
      </c>
      <c r="E39" s="352">
        <f>100+15-5.557</f>
        <v>109.443</v>
      </c>
      <c r="F39" s="353">
        <v>109.44204000000001</v>
      </c>
      <c r="G39" s="354"/>
      <c r="H39" s="353"/>
      <c r="I39" s="354"/>
      <c r="J39" s="353"/>
      <c r="K39" s="354"/>
      <c r="L39" s="355"/>
      <c r="M39" s="354"/>
      <c r="N39" s="353"/>
    </row>
    <row r="40" spans="1:14" ht="30" x14ac:dyDescent="0.25">
      <c r="A40" s="44">
        <f t="shared" si="1"/>
        <v>33</v>
      </c>
      <c r="B40" s="359" t="s">
        <v>173</v>
      </c>
      <c r="C40" s="350">
        <f t="shared" si="0"/>
        <v>19</v>
      </c>
      <c r="D40" s="351">
        <f t="shared" si="0"/>
        <v>19</v>
      </c>
      <c r="E40" s="352">
        <v>19</v>
      </c>
      <c r="F40" s="353">
        <v>19</v>
      </c>
      <c r="G40" s="354"/>
      <c r="H40" s="353"/>
      <c r="I40" s="354"/>
      <c r="J40" s="353"/>
      <c r="K40" s="354"/>
      <c r="L40" s="355"/>
      <c r="M40" s="354"/>
      <c r="N40" s="353"/>
    </row>
    <row r="41" spans="1:14" ht="30" x14ac:dyDescent="0.25">
      <c r="A41" s="44">
        <f t="shared" si="1"/>
        <v>34</v>
      </c>
      <c r="B41" s="359" t="s">
        <v>174</v>
      </c>
      <c r="C41" s="350">
        <f t="shared" si="0"/>
        <v>12.7</v>
      </c>
      <c r="D41" s="351">
        <f t="shared" si="0"/>
        <v>12.7</v>
      </c>
      <c r="E41" s="352">
        <f>10+3.5-0.8</f>
        <v>12.7</v>
      </c>
      <c r="F41" s="353">
        <v>12.7</v>
      </c>
      <c r="G41" s="354"/>
      <c r="H41" s="353"/>
      <c r="I41" s="354"/>
      <c r="J41" s="353"/>
      <c r="K41" s="354"/>
      <c r="L41" s="355"/>
      <c r="M41" s="354"/>
      <c r="N41" s="353"/>
    </row>
    <row r="42" spans="1:14" ht="15.75" x14ac:dyDescent="0.25">
      <c r="A42" s="44">
        <f t="shared" si="1"/>
        <v>35</v>
      </c>
      <c r="B42" s="359" t="s">
        <v>175</v>
      </c>
      <c r="C42" s="350">
        <f t="shared" si="0"/>
        <v>19.791</v>
      </c>
      <c r="D42" s="351">
        <f t="shared" si="0"/>
        <v>19.790150000000001</v>
      </c>
      <c r="E42" s="352">
        <f>15+4.791</f>
        <v>19.791</v>
      </c>
      <c r="F42" s="353">
        <v>19.790150000000001</v>
      </c>
      <c r="G42" s="354"/>
      <c r="H42" s="353"/>
      <c r="I42" s="354"/>
      <c r="J42" s="353"/>
      <c r="K42" s="354"/>
      <c r="L42" s="355"/>
      <c r="M42" s="354"/>
      <c r="N42" s="353"/>
    </row>
    <row r="43" spans="1:14" ht="45" x14ac:dyDescent="0.25">
      <c r="A43" s="44">
        <f t="shared" si="1"/>
        <v>36</v>
      </c>
      <c r="B43" s="360" t="s">
        <v>59</v>
      </c>
      <c r="C43" s="350">
        <f t="shared" si="0"/>
        <v>66.842910000000003</v>
      </c>
      <c r="D43" s="351">
        <f t="shared" si="0"/>
        <v>66.842910000000003</v>
      </c>
      <c r="E43" s="352"/>
      <c r="F43" s="353"/>
      <c r="G43" s="354">
        <f>51.45275+4.84667+5.24515+5.29834</f>
        <v>66.842910000000003</v>
      </c>
      <c r="H43" s="353">
        <v>66.842910000000003</v>
      </c>
      <c r="I43" s="354"/>
      <c r="J43" s="353"/>
      <c r="K43" s="354"/>
      <c r="L43" s="355"/>
      <c r="M43" s="354"/>
      <c r="N43" s="353"/>
    </row>
    <row r="44" spans="1:14" ht="15.75" x14ac:dyDescent="0.25">
      <c r="A44" s="44">
        <f t="shared" si="1"/>
        <v>37</v>
      </c>
      <c r="B44" s="359" t="s">
        <v>62</v>
      </c>
      <c r="C44" s="350">
        <f t="shared" si="0"/>
        <v>27.58962</v>
      </c>
      <c r="D44" s="351">
        <f t="shared" si="0"/>
        <v>27.38785</v>
      </c>
      <c r="E44" s="352"/>
      <c r="F44" s="353"/>
      <c r="G44" s="354">
        <v>27.58962</v>
      </c>
      <c r="H44" s="353">
        <v>27.38785</v>
      </c>
      <c r="I44" s="354"/>
      <c r="J44" s="353"/>
      <c r="K44" s="354"/>
      <c r="L44" s="355"/>
      <c r="M44" s="354"/>
      <c r="N44" s="353"/>
    </row>
    <row r="45" spans="1:14" ht="30" x14ac:dyDescent="0.25">
      <c r="A45" s="44">
        <f t="shared" si="1"/>
        <v>38</v>
      </c>
      <c r="B45" s="359" t="s">
        <v>176</v>
      </c>
      <c r="C45" s="350">
        <f t="shared" si="0"/>
        <v>38.802280000000003</v>
      </c>
      <c r="D45" s="351">
        <f t="shared" si="0"/>
        <v>38.802280000000003</v>
      </c>
      <c r="E45" s="352">
        <v>38.802280000000003</v>
      </c>
      <c r="F45" s="353">
        <v>38.802280000000003</v>
      </c>
      <c r="G45" s="354"/>
      <c r="H45" s="353"/>
      <c r="I45" s="354"/>
      <c r="J45" s="353"/>
      <c r="K45" s="354"/>
      <c r="L45" s="355"/>
      <c r="M45" s="354"/>
      <c r="N45" s="353"/>
    </row>
    <row r="46" spans="1:14" ht="30" x14ac:dyDescent="0.25">
      <c r="A46" s="44">
        <f t="shared" si="1"/>
        <v>39</v>
      </c>
      <c r="B46" s="359" t="s">
        <v>177</v>
      </c>
      <c r="C46" s="350">
        <f t="shared" si="0"/>
        <v>50</v>
      </c>
      <c r="D46" s="351">
        <f t="shared" si="0"/>
        <v>50</v>
      </c>
      <c r="E46" s="352">
        <v>50</v>
      </c>
      <c r="F46" s="353">
        <v>50</v>
      </c>
      <c r="G46" s="354"/>
      <c r="H46" s="353"/>
      <c r="I46" s="354"/>
      <c r="J46" s="353"/>
      <c r="K46" s="354"/>
      <c r="L46" s="355"/>
      <c r="M46" s="354"/>
      <c r="N46" s="353"/>
    </row>
    <row r="47" spans="1:14" ht="90.75" thickBot="1" x14ac:dyDescent="0.3">
      <c r="A47" s="309">
        <f t="shared" si="1"/>
        <v>40</v>
      </c>
      <c r="B47" s="360" t="s">
        <v>178</v>
      </c>
      <c r="C47" s="361">
        <f t="shared" si="0"/>
        <v>10.050000000000001</v>
      </c>
      <c r="D47" s="362">
        <f t="shared" si="0"/>
        <v>0</v>
      </c>
      <c r="E47" s="363"/>
      <c r="F47" s="364"/>
      <c r="G47" s="365">
        <f>2.547+2+5.503</f>
        <v>10.050000000000001</v>
      </c>
      <c r="H47" s="364"/>
      <c r="I47" s="365"/>
      <c r="J47" s="364"/>
      <c r="K47" s="365"/>
      <c r="L47" s="366"/>
      <c r="M47" s="365"/>
      <c r="N47" s="364"/>
    </row>
    <row r="48" spans="1:14" ht="16.5" thickBot="1" x14ac:dyDescent="0.3">
      <c r="A48" s="306">
        <f t="shared" si="1"/>
        <v>41</v>
      </c>
      <c r="B48" s="373" t="s">
        <v>179</v>
      </c>
      <c r="C48" s="318">
        <f t="shared" si="0"/>
        <v>1056.8200000000002</v>
      </c>
      <c r="D48" s="319">
        <f t="shared" si="0"/>
        <v>1028.17508</v>
      </c>
      <c r="E48" s="336">
        <f>SUM(E49:E56)</f>
        <v>1018.32</v>
      </c>
      <c r="F48" s="318">
        <f>SUM(F49:F56)</f>
        <v>1016.6026800000001</v>
      </c>
      <c r="G48" s="318">
        <f t="shared" ref="G48:H48" si="2">SUM(G49:G56)</f>
        <v>2.5</v>
      </c>
      <c r="H48" s="318">
        <f t="shared" si="2"/>
        <v>2.3251599999999999</v>
      </c>
      <c r="I48" s="318"/>
      <c r="J48" s="336"/>
      <c r="K48" s="318">
        <f t="shared" ref="K48" si="3">SUM(K49:K56)</f>
        <v>36</v>
      </c>
      <c r="L48" s="318">
        <f t="shared" ref="L48" si="4">SUM(L49:L56)</f>
        <v>9.2472399999999997</v>
      </c>
      <c r="M48" s="318"/>
      <c r="N48" s="319"/>
    </row>
    <row r="49" spans="1:14" ht="15.75" x14ac:dyDescent="0.25">
      <c r="A49" s="305">
        <f t="shared" si="1"/>
        <v>42</v>
      </c>
      <c r="B49" s="369" t="s">
        <v>180</v>
      </c>
      <c r="C49" s="342">
        <f t="shared" si="0"/>
        <v>4.6999999999999993</v>
      </c>
      <c r="D49" s="343">
        <f t="shared" si="0"/>
        <v>4.6715499999999999</v>
      </c>
      <c r="E49" s="370">
        <f>15-10.3</f>
        <v>4.6999999999999993</v>
      </c>
      <c r="F49" s="347">
        <v>4.6715499999999999</v>
      </c>
      <c r="G49" s="346"/>
      <c r="H49" s="347"/>
      <c r="I49" s="346"/>
      <c r="J49" s="347"/>
      <c r="K49" s="346"/>
      <c r="L49" s="348"/>
      <c r="M49" s="346"/>
      <c r="N49" s="347"/>
    </row>
    <row r="50" spans="1:14" ht="30" x14ac:dyDescent="0.25">
      <c r="A50" s="44">
        <f t="shared" si="1"/>
        <v>43</v>
      </c>
      <c r="B50" s="359" t="s">
        <v>181</v>
      </c>
      <c r="C50" s="350">
        <f t="shared" si="0"/>
        <v>690.48599999999999</v>
      </c>
      <c r="D50" s="351">
        <f t="shared" si="0"/>
        <v>690.48599999999999</v>
      </c>
      <c r="E50" s="352">
        <f>513.5+113.583+63.403</f>
        <v>690.48599999999999</v>
      </c>
      <c r="F50" s="353">
        <v>690.48599999999999</v>
      </c>
      <c r="G50" s="354"/>
      <c r="H50" s="353"/>
      <c r="I50" s="354"/>
      <c r="J50" s="353"/>
      <c r="K50" s="354"/>
      <c r="L50" s="355"/>
      <c r="M50" s="354"/>
      <c r="N50" s="353"/>
    </row>
    <row r="51" spans="1:14" ht="30" x14ac:dyDescent="0.25">
      <c r="A51" s="44">
        <f t="shared" si="1"/>
        <v>44</v>
      </c>
      <c r="B51" s="359" t="s">
        <v>182</v>
      </c>
      <c r="C51" s="350">
        <f t="shared" si="0"/>
        <v>306.41700000000003</v>
      </c>
      <c r="D51" s="351">
        <f t="shared" si="0"/>
        <v>306.41699999999997</v>
      </c>
      <c r="E51" s="352">
        <f>420-113.583</f>
        <v>306.41700000000003</v>
      </c>
      <c r="F51" s="353">
        <v>306.41699999999997</v>
      </c>
      <c r="G51" s="354"/>
      <c r="H51" s="353"/>
      <c r="I51" s="354"/>
      <c r="J51" s="353"/>
      <c r="K51" s="354"/>
      <c r="L51" s="355"/>
      <c r="M51" s="354"/>
      <c r="N51" s="353"/>
    </row>
    <row r="52" spans="1:14" ht="15.75" x14ac:dyDescent="0.25">
      <c r="A52" s="44">
        <f t="shared" si="1"/>
        <v>45</v>
      </c>
      <c r="B52" s="359" t="s">
        <v>183</v>
      </c>
      <c r="C52" s="350">
        <f t="shared" si="0"/>
        <v>0.1</v>
      </c>
      <c r="D52" s="351">
        <f t="shared" si="0"/>
        <v>3.576E-2</v>
      </c>
      <c r="E52" s="352">
        <v>0.1</v>
      </c>
      <c r="F52" s="353">
        <v>3.576E-2</v>
      </c>
      <c r="G52" s="354"/>
      <c r="H52" s="353"/>
      <c r="I52" s="354"/>
      <c r="J52" s="353"/>
      <c r="K52" s="354"/>
      <c r="L52" s="355"/>
      <c r="M52" s="354"/>
      <c r="N52" s="353"/>
    </row>
    <row r="53" spans="1:14" ht="15.75" x14ac:dyDescent="0.25">
      <c r="A53" s="44">
        <f t="shared" si="1"/>
        <v>46</v>
      </c>
      <c r="B53" s="359" t="s">
        <v>184</v>
      </c>
      <c r="C53" s="350">
        <f t="shared" si="0"/>
        <v>15</v>
      </c>
      <c r="D53" s="351">
        <f t="shared" si="0"/>
        <v>14.992369999999999</v>
      </c>
      <c r="E53" s="352">
        <v>15</v>
      </c>
      <c r="F53" s="353">
        <v>14.992369999999999</v>
      </c>
      <c r="G53" s="354"/>
      <c r="H53" s="353"/>
      <c r="I53" s="354"/>
      <c r="J53" s="353"/>
      <c r="K53" s="354"/>
      <c r="L53" s="355"/>
      <c r="M53" s="354"/>
      <c r="N53" s="353"/>
    </row>
    <row r="54" spans="1:14" ht="30" x14ac:dyDescent="0.25">
      <c r="A54" s="44">
        <f t="shared" si="1"/>
        <v>47</v>
      </c>
      <c r="B54" s="359" t="s">
        <v>185</v>
      </c>
      <c r="C54" s="350">
        <f t="shared" si="0"/>
        <v>36</v>
      </c>
      <c r="D54" s="351">
        <f t="shared" si="0"/>
        <v>9.2472399999999997</v>
      </c>
      <c r="E54" s="352"/>
      <c r="F54" s="353"/>
      <c r="G54" s="354"/>
      <c r="H54" s="353"/>
      <c r="I54" s="354"/>
      <c r="J54" s="353"/>
      <c r="K54" s="354">
        <f>50-14</f>
        <v>36</v>
      </c>
      <c r="L54" s="355">
        <v>9.2472399999999997</v>
      </c>
      <c r="M54" s="354"/>
      <c r="N54" s="353"/>
    </row>
    <row r="55" spans="1:14" ht="15.75" x14ac:dyDescent="0.25">
      <c r="A55" s="44">
        <f t="shared" si="1"/>
        <v>48</v>
      </c>
      <c r="B55" s="359" t="s">
        <v>186</v>
      </c>
      <c r="C55" s="350">
        <f t="shared" si="0"/>
        <v>2.5</v>
      </c>
      <c r="D55" s="351">
        <f t="shared" si="0"/>
        <v>2.3251599999999999</v>
      </c>
      <c r="E55" s="352"/>
      <c r="F55" s="353"/>
      <c r="G55" s="354">
        <f>1.1+1.4</f>
        <v>2.5</v>
      </c>
      <c r="H55" s="353">
        <v>2.3251599999999999</v>
      </c>
      <c r="I55" s="354"/>
      <c r="J55" s="353"/>
      <c r="K55" s="354"/>
      <c r="L55" s="355"/>
      <c r="M55" s="354"/>
      <c r="N55" s="353"/>
    </row>
    <row r="56" spans="1:14" ht="30.75" thickBot="1" x14ac:dyDescent="0.3">
      <c r="A56" s="309">
        <f t="shared" si="1"/>
        <v>49</v>
      </c>
      <c r="B56" s="360" t="s">
        <v>187</v>
      </c>
      <c r="C56" s="361">
        <f t="shared" si="0"/>
        <v>1.617</v>
      </c>
      <c r="D56" s="362">
        <f t="shared" si="0"/>
        <v>0</v>
      </c>
      <c r="E56" s="363">
        <v>1.617</v>
      </c>
      <c r="F56" s="364"/>
      <c r="G56" s="365"/>
      <c r="H56" s="364"/>
      <c r="I56" s="365"/>
      <c r="J56" s="364"/>
      <c r="K56" s="365"/>
      <c r="L56" s="366"/>
      <c r="M56" s="365"/>
      <c r="N56" s="364"/>
    </row>
    <row r="57" spans="1:14" ht="16.5" thickBot="1" x14ac:dyDescent="0.3">
      <c r="A57" s="306">
        <f t="shared" si="1"/>
        <v>50</v>
      </c>
      <c r="B57" s="335" t="s">
        <v>188</v>
      </c>
      <c r="C57" s="318">
        <f t="shared" si="0"/>
        <v>6261.50396</v>
      </c>
      <c r="D57" s="319">
        <f t="shared" si="0"/>
        <v>6081.1777000000002</v>
      </c>
      <c r="E57" s="337">
        <f>SUM(E58:E66)</f>
        <v>1416.45911</v>
      </c>
      <c r="F57" s="318">
        <f>SUM(F58:F66)</f>
        <v>1257.4625599999999</v>
      </c>
      <c r="G57" s="318">
        <f>SUM(G58:G66)</f>
        <v>4845.0448500000002</v>
      </c>
      <c r="H57" s="318">
        <f>SUM(H58:H66)</f>
        <v>4823.7151400000002</v>
      </c>
      <c r="I57" s="318"/>
      <c r="J57" s="336"/>
      <c r="K57" s="318"/>
      <c r="L57" s="336"/>
      <c r="M57" s="318"/>
      <c r="N57" s="337"/>
    </row>
    <row r="58" spans="1:14" ht="30" x14ac:dyDescent="0.25">
      <c r="A58" s="305">
        <f t="shared" si="1"/>
        <v>51</v>
      </c>
      <c r="B58" s="369" t="s">
        <v>189</v>
      </c>
      <c r="C58" s="342">
        <f t="shared" si="0"/>
        <v>160</v>
      </c>
      <c r="D58" s="343">
        <f t="shared" si="0"/>
        <v>159.67355000000001</v>
      </c>
      <c r="E58" s="370">
        <f>163-1-2</f>
        <v>160</v>
      </c>
      <c r="F58" s="347">
        <v>159.67355000000001</v>
      </c>
      <c r="G58" s="346"/>
      <c r="H58" s="347"/>
      <c r="I58" s="346"/>
      <c r="J58" s="347"/>
      <c r="K58" s="346"/>
      <c r="L58" s="348"/>
      <c r="M58" s="346"/>
      <c r="N58" s="347"/>
    </row>
    <row r="59" spans="1:14" ht="45" x14ac:dyDescent="0.25">
      <c r="A59" s="44">
        <f t="shared" si="1"/>
        <v>52</v>
      </c>
      <c r="B59" s="374" t="s">
        <v>190</v>
      </c>
      <c r="C59" s="350">
        <f t="shared" si="0"/>
        <v>691.97974999999997</v>
      </c>
      <c r="D59" s="351">
        <f t="shared" si="0"/>
        <v>676.50741000000005</v>
      </c>
      <c r="E59" s="352">
        <f>413.7349+100+80</f>
        <v>593.73489999999993</v>
      </c>
      <c r="F59" s="353">
        <v>578.26256000000001</v>
      </c>
      <c r="G59" s="354">
        <f>91.30675+3.67433+3.26377</f>
        <v>98.244849999999985</v>
      </c>
      <c r="H59" s="353">
        <v>98.24485</v>
      </c>
      <c r="I59" s="354"/>
      <c r="J59" s="353"/>
      <c r="K59" s="354"/>
      <c r="L59" s="355"/>
      <c r="M59" s="354"/>
      <c r="N59" s="353"/>
    </row>
    <row r="60" spans="1:14" ht="30" x14ac:dyDescent="0.25">
      <c r="A60" s="44">
        <f t="shared" si="1"/>
        <v>53</v>
      </c>
      <c r="B60" s="359" t="s">
        <v>191</v>
      </c>
      <c r="C60" s="350">
        <f t="shared" si="0"/>
        <v>14.5</v>
      </c>
      <c r="D60" s="351">
        <f t="shared" si="0"/>
        <v>13.472799999999999</v>
      </c>
      <c r="E60" s="352">
        <f>10+1.5+1+2</f>
        <v>14.5</v>
      </c>
      <c r="F60" s="353">
        <v>13.472799999999999</v>
      </c>
      <c r="G60" s="354"/>
      <c r="H60" s="353"/>
      <c r="I60" s="354"/>
      <c r="J60" s="353"/>
      <c r="K60" s="354"/>
      <c r="L60" s="355"/>
      <c r="M60" s="354"/>
      <c r="N60" s="353"/>
    </row>
    <row r="61" spans="1:14" ht="30" x14ac:dyDescent="0.25">
      <c r="A61" s="44">
        <f t="shared" si="1"/>
        <v>54</v>
      </c>
      <c r="B61" s="359" t="s">
        <v>192</v>
      </c>
      <c r="C61" s="350">
        <f t="shared" si="0"/>
        <v>2253</v>
      </c>
      <c r="D61" s="351">
        <f t="shared" si="0"/>
        <v>2253</v>
      </c>
      <c r="E61" s="352"/>
      <c r="F61" s="353"/>
      <c r="G61" s="354">
        <f>1587+666</f>
        <v>2253</v>
      </c>
      <c r="H61" s="353">
        <v>2253</v>
      </c>
      <c r="I61" s="354"/>
      <c r="J61" s="353"/>
      <c r="K61" s="354"/>
      <c r="L61" s="355"/>
      <c r="M61" s="354"/>
      <c r="N61" s="353"/>
    </row>
    <row r="62" spans="1:14" ht="15.75" x14ac:dyDescent="0.25">
      <c r="A62" s="44">
        <f t="shared" si="1"/>
        <v>55</v>
      </c>
      <c r="B62" s="359" t="s">
        <v>193</v>
      </c>
      <c r="C62" s="350">
        <f t="shared" si="0"/>
        <v>55</v>
      </c>
      <c r="D62" s="351">
        <f t="shared" si="0"/>
        <v>54.862369999999999</v>
      </c>
      <c r="E62" s="352">
        <v>55</v>
      </c>
      <c r="F62" s="353">
        <v>54.862369999999999</v>
      </c>
      <c r="G62" s="354"/>
      <c r="H62" s="353"/>
      <c r="I62" s="354"/>
      <c r="J62" s="353"/>
      <c r="K62" s="354"/>
      <c r="L62" s="355"/>
      <c r="M62" s="354"/>
      <c r="N62" s="353"/>
    </row>
    <row r="63" spans="1:14" ht="15.75" x14ac:dyDescent="0.25">
      <c r="A63" s="44">
        <f t="shared" si="1"/>
        <v>56</v>
      </c>
      <c r="B63" s="359" t="s">
        <v>194</v>
      </c>
      <c r="C63" s="350">
        <f t="shared" si="0"/>
        <v>0</v>
      </c>
      <c r="D63" s="351">
        <f t="shared" si="0"/>
        <v>0</v>
      </c>
      <c r="E63" s="352">
        <f>3-1.5-1.5</f>
        <v>0</v>
      </c>
      <c r="F63" s="353"/>
      <c r="G63" s="354"/>
      <c r="H63" s="353"/>
      <c r="I63" s="354"/>
      <c r="J63" s="353"/>
      <c r="K63" s="354"/>
      <c r="L63" s="355"/>
      <c r="M63" s="354"/>
      <c r="N63" s="353"/>
    </row>
    <row r="64" spans="1:14" ht="15.75" x14ac:dyDescent="0.25">
      <c r="A64" s="44">
        <f t="shared" si="1"/>
        <v>57</v>
      </c>
      <c r="B64" s="359" t="s">
        <v>195</v>
      </c>
      <c r="C64" s="350">
        <f t="shared" si="0"/>
        <v>400</v>
      </c>
      <c r="D64" s="351">
        <f t="shared" si="0"/>
        <v>258.09563000000003</v>
      </c>
      <c r="E64" s="352">
        <v>400</v>
      </c>
      <c r="F64" s="353">
        <v>258.09563000000003</v>
      </c>
      <c r="G64" s="354"/>
      <c r="H64" s="353"/>
      <c r="I64" s="354"/>
      <c r="J64" s="353"/>
      <c r="K64" s="354"/>
      <c r="L64" s="355"/>
      <c r="M64" s="354"/>
      <c r="N64" s="353"/>
    </row>
    <row r="65" spans="1:14" ht="15.75" x14ac:dyDescent="0.25">
      <c r="A65" s="44">
        <f t="shared" si="1"/>
        <v>58</v>
      </c>
      <c r="B65" s="359" t="s">
        <v>196</v>
      </c>
      <c r="C65" s="350">
        <f t="shared" si="0"/>
        <v>2607.02421</v>
      </c>
      <c r="D65" s="351">
        <f t="shared" si="0"/>
        <v>2585.5748000000003</v>
      </c>
      <c r="E65" s="352">
        <f>103.92421+7.8+1.5</f>
        <v>113.22421</v>
      </c>
      <c r="F65" s="353">
        <v>113.10451</v>
      </c>
      <c r="G65" s="354">
        <v>2493.8000000000002</v>
      </c>
      <c r="H65" s="353">
        <v>2472.4702900000002</v>
      </c>
      <c r="I65" s="354"/>
      <c r="J65" s="353"/>
      <c r="K65" s="354"/>
      <c r="L65" s="355"/>
      <c r="M65" s="354"/>
      <c r="N65" s="353"/>
    </row>
    <row r="66" spans="1:14" ht="16.5" thickBot="1" x14ac:dyDescent="0.3">
      <c r="A66" s="309">
        <f t="shared" si="1"/>
        <v>59</v>
      </c>
      <c r="B66" s="375" t="s">
        <v>197</v>
      </c>
      <c r="C66" s="361">
        <f t="shared" si="0"/>
        <v>80</v>
      </c>
      <c r="D66" s="362">
        <f t="shared" si="0"/>
        <v>79.991140000000001</v>
      </c>
      <c r="E66" s="363">
        <v>80</v>
      </c>
      <c r="F66" s="364">
        <v>79.991140000000001</v>
      </c>
      <c r="G66" s="365"/>
      <c r="H66" s="364"/>
      <c r="I66" s="365"/>
      <c r="J66" s="364"/>
      <c r="K66" s="365"/>
      <c r="L66" s="366"/>
      <c r="M66" s="365"/>
      <c r="N66" s="364"/>
    </row>
    <row r="67" spans="1:14" ht="32.25" thickBot="1" x14ac:dyDescent="0.3">
      <c r="A67" s="306">
        <f t="shared" si="1"/>
        <v>60</v>
      </c>
      <c r="B67" s="373" t="s">
        <v>198</v>
      </c>
      <c r="C67" s="318">
        <f t="shared" si="0"/>
        <v>60.256</v>
      </c>
      <c r="D67" s="319">
        <f t="shared" si="0"/>
        <v>60.256</v>
      </c>
      <c r="E67" s="336">
        <f>SUM(E68:E71)</f>
        <v>60.256</v>
      </c>
      <c r="F67" s="318">
        <f>SUM(F68:F71)</f>
        <v>60.256</v>
      </c>
      <c r="G67" s="318"/>
      <c r="H67" s="318"/>
      <c r="I67" s="318"/>
      <c r="J67" s="336"/>
      <c r="K67" s="318"/>
      <c r="L67" s="318"/>
      <c r="M67" s="318"/>
      <c r="N67" s="376"/>
    </row>
    <row r="68" spans="1:14" ht="30" x14ac:dyDescent="0.25">
      <c r="A68" s="305">
        <f t="shared" si="1"/>
        <v>61</v>
      </c>
      <c r="B68" s="369" t="s">
        <v>199</v>
      </c>
      <c r="C68" s="342">
        <f t="shared" si="0"/>
        <v>21.387999999999998</v>
      </c>
      <c r="D68" s="343">
        <f t="shared" si="0"/>
        <v>21.388000000000002</v>
      </c>
      <c r="E68" s="370">
        <f>50-15.6-13.012</f>
        <v>21.387999999999998</v>
      </c>
      <c r="F68" s="347">
        <v>21.388000000000002</v>
      </c>
      <c r="G68" s="346"/>
      <c r="H68" s="347"/>
      <c r="I68" s="346"/>
      <c r="J68" s="377"/>
      <c r="K68" s="346"/>
      <c r="L68" s="348"/>
      <c r="M68" s="346"/>
      <c r="N68" s="347"/>
    </row>
    <row r="69" spans="1:14" ht="30" x14ac:dyDescent="0.25">
      <c r="A69" s="44">
        <f t="shared" si="1"/>
        <v>62</v>
      </c>
      <c r="B69" s="359" t="s">
        <v>200</v>
      </c>
      <c r="C69" s="350">
        <f t="shared" si="0"/>
        <v>14.45</v>
      </c>
      <c r="D69" s="351">
        <f t="shared" si="0"/>
        <v>14.45</v>
      </c>
      <c r="E69" s="352">
        <f>25-10.55</f>
        <v>14.45</v>
      </c>
      <c r="F69" s="353">
        <v>14.45</v>
      </c>
      <c r="G69" s="354"/>
      <c r="H69" s="353"/>
      <c r="I69" s="354"/>
      <c r="J69" s="378"/>
      <c r="K69" s="354"/>
      <c r="L69" s="355"/>
      <c r="M69" s="354"/>
      <c r="N69" s="353"/>
    </row>
    <row r="70" spans="1:14" ht="45" x14ac:dyDescent="0.25">
      <c r="A70" s="44">
        <f t="shared" si="1"/>
        <v>63</v>
      </c>
      <c r="B70" s="359" t="s">
        <v>201</v>
      </c>
      <c r="C70" s="350">
        <f t="shared" si="0"/>
        <v>8.9980000000000011</v>
      </c>
      <c r="D70" s="351">
        <f t="shared" si="0"/>
        <v>8.9979999999999993</v>
      </c>
      <c r="E70" s="352">
        <f>15-6.002</f>
        <v>8.9980000000000011</v>
      </c>
      <c r="F70" s="353">
        <v>8.9979999999999993</v>
      </c>
      <c r="G70" s="354"/>
      <c r="H70" s="353"/>
      <c r="I70" s="354"/>
      <c r="J70" s="378"/>
      <c r="K70" s="354"/>
      <c r="L70" s="355"/>
      <c r="M70" s="354"/>
      <c r="N70" s="353"/>
    </row>
    <row r="71" spans="1:14" ht="16.5" thickBot="1" x14ac:dyDescent="0.3">
      <c r="A71" s="309">
        <f t="shared" si="1"/>
        <v>64</v>
      </c>
      <c r="B71" s="360" t="s">
        <v>202</v>
      </c>
      <c r="C71" s="361">
        <f t="shared" si="0"/>
        <v>15.42</v>
      </c>
      <c r="D71" s="362">
        <f t="shared" si="0"/>
        <v>15.42</v>
      </c>
      <c r="E71" s="379">
        <f>15.6-0.18</f>
        <v>15.42</v>
      </c>
      <c r="F71" s="364">
        <v>15.42</v>
      </c>
      <c r="G71" s="365"/>
      <c r="H71" s="364"/>
      <c r="I71" s="365"/>
      <c r="J71" s="380"/>
      <c r="K71" s="365"/>
      <c r="L71" s="366"/>
      <c r="M71" s="365"/>
      <c r="N71" s="364"/>
    </row>
    <row r="72" spans="1:14" ht="32.25" thickBot="1" x14ac:dyDescent="0.3">
      <c r="A72" s="306">
        <f t="shared" si="1"/>
        <v>65</v>
      </c>
      <c r="B72" s="373" t="s">
        <v>203</v>
      </c>
      <c r="C72" s="318">
        <f t="shared" si="0"/>
        <v>1500.31729</v>
      </c>
      <c r="D72" s="319">
        <f t="shared" si="0"/>
        <v>1472.6394499999999</v>
      </c>
      <c r="E72" s="340">
        <f>SUM(E73:E81)+E85+E86</f>
        <v>1461.258</v>
      </c>
      <c r="F72" s="339">
        <f>SUM(F73:F81)+F85+F86</f>
        <v>1433.58016</v>
      </c>
      <c r="G72" s="339">
        <f t="shared" ref="G72:H72" si="5">SUM(G73:G81)+G85+G86</f>
        <v>39.059289999999997</v>
      </c>
      <c r="H72" s="339">
        <f t="shared" si="5"/>
        <v>39.059289999999997</v>
      </c>
      <c r="I72" s="318"/>
      <c r="J72" s="340"/>
      <c r="K72" s="318"/>
      <c r="L72" s="340"/>
      <c r="M72" s="318"/>
      <c r="N72" s="337"/>
    </row>
    <row r="73" spans="1:14" ht="30" x14ac:dyDescent="0.25">
      <c r="A73" s="305">
        <f t="shared" si="1"/>
        <v>66</v>
      </c>
      <c r="B73" s="369" t="s">
        <v>204</v>
      </c>
      <c r="C73" s="342">
        <f t="shared" ref="C73:D136" si="6">E73+G73+I73+K73+M73</f>
        <v>1.5</v>
      </c>
      <c r="D73" s="343">
        <f t="shared" si="6"/>
        <v>1.5</v>
      </c>
      <c r="E73" s="370">
        <v>1.5</v>
      </c>
      <c r="F73" s="347">
        <v>1.5</v>
      </c>
      <c r="G73" s="346"/>
      <c r="H73" s="347"/>
      <c r="I73" s="346"/>
      <c r="J73" s="377"/>
      <c r="K73" s="346"/>
      <c r="L73" s="348"/>
      <c r="M73" s="346"/>
      <c r="N73" s="347"/>
    </row>
    <row r="74" spans="1:14" ht="30" x14ac:dyDescent="0.25">
      <c r="A74" s="44">
        <f t="shared" si="1"/>
        <v>67</v>
      </c>
      <c r="B74" s="359" t="s">
        <v>205</v>
      </c>
      <c r="C74" s="350">
        <f t="shared" si="6"/>
        <v>1.5</v>
      </c>
      <c r="D74" s="351">
        <f t="shared" si="6"/>
        <v>1.3788800000000001</v>
      </c>
      <c r="E74" s="352">
        <v>1.5</v>
      </c>
      <c r="F74" s="353">
        <v>1.3788800000000001</v>
      </c>
      <c r="G74" s="354"/>
      <c r="H74" s="353"/>
      <c r="I74" s="354"/>
      <c r="J74" s="378"/>
      <c r="K74" s="354"/>
      <c r="L74" s="355"/>
      <c r="M74" s="354"/>
      <c r="N74" s="353"/>
    </row>
    <row r="75" spans="1:14" ht="30" x14ac:dyDescent="0.25">
      <c r="A75" s="44">
        <f t="shared" ref="A75:A138" si="7">A74+1</f>
        <v>68</v>
      </c>
      <c r="B75" s="359" t="s">
        <v>206</v>
      </c>
      <c r="C75" s="350">
        <f t="shared" si="6"/>
        <v>74.5</v>
      </c>
      <c r="D75" s="351">
        <f t="shared" si="6"/>
        <v>55.271940000000001</v>
      </c>
      <c r="E75" s="352">
        <v>74.5</v>
      </c>
      <c r="F75" s="353">
        <v>55.271940000000001</v>
      </c>
      <c r="G75" s="354"/>
      <c r="H75" s="353"/>
      <c r="I75" s="354"/>
      <c r="J75" s="378"/>
      <c r="K75" s="354"/>
      <c r="L75" s="355"/>
      <c r="M75" s="354"/>
      <c r="N75" s="353"/>
    </row>
    <row r="76" spans="1:14" ht="45" x14ac:dyDescent="0.25">
      <c r="A76" s="44">
        <f t="shared" si="7"/>
        <v>69</v>
      </c>
      <c r="B76" s="359" t="s">
        <v>207</v>
      </c>
      <c r="C76" s="350">
        <f t="shared" si="6"/>
        <v>45.757999999999996</v>
      </c>
      <c r="D76" s="351">
        <f t="shared" si="6"/>
        <v>45.363329999999998</v>
      </c>
      <c r="E76" s="352">
        <f>95-24-25.242</f>
        <v>45.757999999999996</v>
      </c>
      <c r="F76" s="353">
        <v>45.363329999999998</v>
      </c>
      <c r="G76" s="354"/>
      <c r="H76" s="353"/>
      <c r="I76" s="354"/>
      <c r="J76" s="378"/>
      <c r="K76" s="354"/>
      <c r="L76" s="355"/>
      <c r="M76" s="354"/>
      <c r="N76" s="353"/>
    </row>
    <row r="77" spans="1:14" ht="15.75" x14ac:dyDescent="0.25">
      <c r="A77" s="44">
        <f t="shared" si="7"/>
        <v>70</v>
      </c>
      <c r="B77" s="359" t="s">
        <v>208</v>
      </c>
      <c r="C77" s="350">
        <f t="shared" si="6"/>
        <v>50</v>
      </c>
      <c r="D77" s="351">
        <f t="shared" si="6"/>
        <v>50</v>
      </c>
      <c r="E77" s="352">
        <v>50</v>
      </c>
      <c r="F77" s="353">
        <v>50</v>
      </c>
      <c r="G77" s="354"/>
      <c r="H77" s="353"/>
      <c r="I77" s="354"/>
      <c r="J77" s="378"/>
      <c r="K77" s="354"/>
      <c r="L77" s="355"/>
      <c r="M77" s="354"/>
      <c r="N77" s="353"/>
    </row>
    <row r="78" spans="1:14" ht="15.75" x14ac:dyDescent="0.25">
      <c r="A78" s="44">
        <f t="shared" si="7"/>
        <v>71</v>
      </c>
      <c r="B78" s="359" t="s">
        <v>209</v>
      </c>
      <c r="C78" s="350">
        <f t="shared" si="6"/>
        <v>10</v>
      </c>
      <c r="D78" s="351">
        <f t="shared" si="6"/>
        <v>2.1130100000000001</v>
      </c>
      <c r="E78" s="352">
        <v>10</v>
      </c>
      <c r="F78" s="353">
        <v>2.1130100000000001</v>
      </c>
      <c r="G78" s="354"/>
      <c r="H78" s="353"/>
      <c r="I78" s="354"/>
      <c r="J78" s="378"/>
      <c r="K78" s="354"/>
      <c r="L78" s="355"/>
      <c r="M78" s="354"/>
      <c r="N78" s="353"/>
    </row>
    <row r="79" spans="1:14" ht="15.75" x14ac:dyDescent="0.25">
      <c r="A79" s="44">
        <f t="shared" si="7"/>
        <v>72</v>
      </c>
      <c r="B79" s="359" t="s">
        <v>210</v>
      </c>
      <c r="C79" s="350">
        <f t="shared" si="6"/>
        <v>1010</v>
      </c>
      <c r="D79" s="351">
        <f t="shared" si="6"/>
        <v>1010</v>
      </c>
      <c r="E79" s="352">
        <f>800+30+180</f>
        <v>1010</v>
      </c>
      <c r="F79" s="353">
        <v>1010</v>
      </c>
      <c r="G79" s="354"/>
      <c r="H79" s="353"/>
      <c r="I79" s="354"/>
      <c r="J79" s="378"/>
      <c r="K79" s="354"/>
      <c r="L79" s="355"/>
      <c r="M79" s="354"/>
      <c r="N79" s="353"/>
    </row>
    <row r="80" spans="1:14" ht="30" x14ac:dyDescent="0.25">
      <c r="A80" s="44">
        <f t="shared" si="7"/>
        <v>73</v>
      </c>
      <c r="B80" s="359" t="s">
        <v>211</v>
      </c>
      <c r="C80" s="350">
        <f t="shared" si="6"/>
        <v>260.89172000000002</v>
      </c>
      <c r="D80" s="351">
        <f t="shared" si="6"/>
        <v>260.89172000000002</v>
      </c>
      <c r="E80" s="352">
        <v>246</v>
      </c>
      <c r="F80" s="353">
        <v>246</v>
      </c>
      <c r="G80" s="354">
        <v>14.891719999999999</v>
      </c>
      <c r="H80" s="353">
        <v>14.891719999999999</v>
      </c>
      <c r="I80" s="354"/>
      <c r="J80" s="378"/>
      <c r="K80" s="354"/>
      <c r="L80" s="355"/>
      <c r="M80" s="354"/>
      <c r="N80" s="353"/>
    </row>
    <row r="81" spans="1:14" ht="30" x14ac:dyDescent="0.25">
      <c r="A81" s="44">
        <f t="shared" si="7"/>
        <v>74</v>
      </c>
      <c r="B81" s="359" t="s">
        <v>212</v>
      </c>
      <c r="C81" s="350">
        <f t="shared" si="6"/>
        <v>22</v>
      </c>
      <c r="D81" s="351">
        <f t="shared" si="6"/>
        <v>21.952999999999999</v>
      </c>
      <c r="E81" s="352">
        <f>E82+E83+E84</f>
        <v>22</v>
      </c>
      <c r="F81" s="353">
        <v>21.952999999999999</v>
      </c>
      <c r="G81" s="354"/>
      <c r="H81" s="353"/>
      <c r="I81" s="354"/>
      <c r="J81" s="378"/>
      <c r="K81" s="354"/>
      <c r="L81" s="355"/>
      <c r="M81" s="354"/>
      <c r="N81" s="353"/>
    </row>
    <row r="82" spans="1:14" ht="30" x14ac:dyDescent="0.25">
      <c r="A82" s="44">
        <f t="shared" si="7"/>
        <v>75</v>
      </c>
      <c r="B82" s="381" t="s">
        <v>213</v>
      </c>
      <c r="C82" s="354">
        <f t="shared" si="6"/>
        <v>5</v>
      </c>
      <c r="D82" s="353">
        <f t="shared" si="6"/>
        <v>5</v>
      </c>
      <c r="E82" s="352">
        <v>5</v>
      </c>
      <c r="F82" s="353">
        <v>5</v>
      </c>
      <c r="G82" s="354"/>
      <c r="H82" s="353"/>
      <c r="I82" s="354"/>
      <c r="J82" s="378"/>
      <c r="K82" s="354"/>
      <c r="L82" s="355"/>
      <c r="M82" s="354"/>
      <c r="N82" s="353"/>
    </row>
    <row r="83" spans="1:14" ht="30" x14ac:dyDescent="0.25">
      <c r="A83" s="44">
        <f t="shared" si="7"/>
        <v>76</v>
      </c>
      <c r="B83" s="381" t="s">
        <v>214</v>
      </c>
      <c r="C83" s="354">
        <f t="shared" si="6"/>
        <v>15.5</v>
      </c>
      <c r="D83" s="353">
        <f t="shared" si="6"/>
        <v>15.452999999999999</v>
      </c>
      <c r="E83" s="352">
        <v>15.5</v>
      </c>
      <c r="F83" s="353">
        <v>15.452999999999999</v>
      </c>
      <c r="G83" s="354"/>
      <c r="H83" s="353"/>
      <c r="I83" s="354"/>
      <c r="J83" s="378"/>
      <c r="K83" s="354"/>
      <c r="L83" s="355"/>
      <c r="M83" s="354"/>
      <c r="N83" s="353"/>
    </row>
    <row r="84" spans="1:14" ht="45" x14ac:dyDescent="0.25">
      <c r="A84" s="44">
        <f t="shared" si="7"/>
        <v>77</v>
      </c>
      <c r="B84" s="381" t="s">
        <v>215</v>
      </c>
      <c r="C84" s="354">
        <f t="shared" si="6"/>
        <v>1.5</v>
      </c>
      <c r="D84" s="353">
        <f t="shared" si="6"/>
        <v>1.5</v>
      </c>
      <c r="E84" s="352">
        <v>1.5</v>
      </c>
      <c r="F84" s="353">
        <v>1.5</v>
      </c>
      <c r="G84" s="354"/>
      <c r="H84" s="353"/>
      <c r="I84" s="354"/>
      <c r="J84" s="378"/>
      <c r="K84" s="354"/>
      <c r="L84" s="355"/>
      <c r="M84" s="354"/>
      <c r="N84" s="353"/>
    </row>
    <row r="85" spans="1:14" ht="45" x14ac:dyDescent="0.25">
      <c r="A85" s="44">
        <f t="shared" si="7"/>
        <v>78</v>
      </c>
      <c r="B85" s="359" t="s">
        <v>76</v>
      </c>
      <c r="C85" s="350">
        <f t="shared" si="6"/>
        <v>7.6724999999999994</v>
      </c>
      <c r="D85" s="351">
        <f t="shared" si="6"/>
        <v>7.6725000000000003</v>
      </c>
      <c r="E85" s="352"/>
      <c r="F85" s="353"/>
      <c r="G85" s="354">
        <f>1.116+6.5565</f>
        <v>7.6724999999999994</v>
      </c>
      <c r="H85" s="353">
        <v>7.6725000000000003</v>
      </c>
      <c r="I85" s="354"/>
      <c r="J85" s="378"/>
      <c r="K85" s="354"/>
      <c r="L85" s="355"/>
      <c r="M85" s="354"/>
      <c r="N85" s="353"/>
    </row>
    <row r="86" spans="1:14" ht="45.75" thickBot="1" x14ac:dyDescent="0.3">
      <c r="A86" s="309">
        <f t="shared" si="7"/>
        <v>79</v>
      </c>
      <c r="B86" s="360" t="s">
        <v>84</v>
      </c>
      <c r="C86" s="361">
        <f t="shared" si="6"/>
        <v>16.495069999999998</v>
      </c>
      <c r="D86" s="362">
        <f t="shared" si="6"/>
        <v>16.495069999999998</v>
      </c>
      <c r="E86" s="363"/>
      <c r="F86" s="364"/>
      <c r="G86" s="365">
        <v>16.495069999999998</v>
      </c>
      <c r="H86" s="364">
        <v>16.495069999999998</v>
      </c>
      <c r="I86" s="365"/>
      <c r="J86" s="380"/>
      <c r="K86" s="365"/>
      <c r="L86" s="366"/>
      <c r="M86" s="365"/>
      <c r="N86" s="364"/>
    </row>
    <row r="87" spans="1:14" ht="16.5" thickBot="1" x14ac:dyDescent="0.3">
      <c r="A87" s="306">
        <f t="shared" si="7"/>
        <v>80</v>
      </c>
      <c r="B87" s="373" t="s">
        <v>216</v>
      </c>
      <c r="C87" s="318">
        <f t="shared" si="6"/>
        <v>148.07096999999999</v>
      </c>
      <c r="D87" s="319">
        <f t="shared" si="6"/>
        <v>147.02546000000001</v>
      </c>
      <c r="E87" s="336">
        <f>SUM(E88:E91)</f>
        <v>148.07096999999999</v>
      </c>
      <c r="F87" s="318">
        <f>SUM(F88:F91)</f>
        <v>147.02546000000001</v>
      </c>
      <c r="G87" s="318"/>
      <c r="H87" s="318"/>
      <c r="I87" s="318"/>
      <c r="J87" s="336"/>
      <c r="K87" s="318"/>
      <c r="L87" s="336"/>
      <c r="M87" s="318"/>
      <c r="N87" s="337"/>
    </row>
    <row r="88" spans="1:14" ht="15.75" x14ac:dyDescent="0.25">
      <c r="A88" s="305">
        <f t="shared" si="7"/>
        <v>81</v>
      </c>
      <c r="B88" s="369" t="s">
        <v>217</v>
      </c>
      <c r="C88" s="342">
        <f t="shared" si="6"/>
        <v>65.3</v>
      </c>
      <c r="D88" s="343">
        <f t="shared" si="6"/>
        <v>65.3</v>
      </c>
      <c r="E88" s="370">
        <v>65.3</v>
      </c>
      <c r="F88" s="347">
        <v>65.3</v>
      </c>
      <c r="G88" s="346"/>
      <c r="H88" s="347"/>
      <c r="I88" s="346"/>
      <c r="J88" s="377"/>
      <c r="K88" s="346"/>
      <c r="L88" s="348"/>
      <c r="M88" s="346"/>
      <c r="N88" s="347"/>
    </row>
    <row r="89" spans="1:14" ht="30" x14ac:dyDescent="0.25">
      <c r="A89" s="44">
        <f t="shared" si="7"/>
        <v>82</v>
      </c>
      <c r="B89" s="359" t="s">
        <v>218</v>
      </c>
      <c r="C89" s="350">
        <f t="shared" si="6"/>
        <v>3.7709700000000002</v>
      </c>
      <c r="D89" s="351">
        <f t="shared" si="6"/>
        <v>3.7709700000000002</v>
      </c>
      <c r="E89" s="352">
        <v>3.7709700000000002</v>
      </c>
      <c r="F89" s="353">
        <v>3.7709700000000002</v>
      </c>
      <c r="G89" s="354"/>
      <c r="H89" s="353"/>
      <c r="I89" s="354"/>
      <c r="J89" s="378"/>
      <c r="K89" s="354"/>
      <c r="L89" s="355"/>
      <c r="M89" s="354"/>
      <c r="N89" s="353"/>
    </row>
    <row r="90" spans="1:14" ht="15.75" x14ac:dyDescent="0.25">
      <c r="A90" s="44">
        <f t="shared" si="7"/>
        <v>83</v>
      </c>
      <c r="B90" s="359" t="s">
        <v>219</v>
      </c>
      <c r="C90" s="350">
        <f t="shared" si="6"/>
        <v>75</v>
      </c>
      <c r="D90" s="351">
        <f t="shared" si="6"/>
        <v>74.138210000000001</v>
      </c>
      <c r="E90" s="352">
        <v>75</v>
      </c>
      <c r="F90" s="353">
        <v>74.138210000000001</v>
      </c>
      <c r="G90" s="354"/>
      <c r="H90" s="353"/>
      <c r="I90" s="354"/>
      <c r="J90" s="378"/>
      <c r="K90" s="354"/>
      <c r="L90" s="355"/>
      <c r="M90" s="354"/>
      <c r="N90" s="353"/>
    </row>
    <row r="91" spans="1:14" ht="16.5" thickBot="1" x14ac:dyDescent="0.3">
      <c r="A91" s="309">
        <f t="shared" si="7"/>
        <v>84</v>
      </c>
      <c r="B91" s="360" t="s">
        <v>220</v>
      </c>
      <c r="C91" s="361">
        <f t="shared" si="6"/>
        <v>4</v>
      </c>
      <c r="D91" s="362">
        <f t="shared" si="6"/>
        <v>3.8162799999999999</v>
      </c>
      <c r="E91" s="363">
        <v>4</v>
      </c>
      <c r="F91" s="364">
        <v>3.8162799999999999</v>
      </c>
      <c r="G91" s="365"/>
      <c r="H91" s="364"/>
      <c r="I91" s="365"/>
      <c r="J91" s="380"/>
      <c r="K91" s="365"/>
      <c r="L91" s="366"/>
      <c r="M91" s="365"/>
      <c r="N91" s="364"/>
    </row>
    <row r="92" spans="1:14" ht="16.5" thickBot="1" x14ac:dyDescent="0.3">
      <c r="A92" s="306">
        <f t="shared" si="7"/>
        <v>85</v>
      </c>
      <c r="B92" s="335" t="s">
        <v>221</v>
      </c>
      <c r="C92" s="318">
        <f t="shared" si="6"/>
        <v>495.54146000000003</v>
      </c>
      <c r="D92" s="319">
        <f t="shared" si="6"/>
        <v>494.22998000000007</v>
      </c>
      <c r="E92" s="336">
        <f>E93+E94+E95+E97</f>
        <v>189.54846000000001</v>
      </c>
      <c r="F92" s="318">
        <f>F93+F94+F95+F97</f>
        <v>188.27362000000002</v>
      </c>
      <c r="G92" s="318">
        <f>G93+G96</f>
        <v>305.99299999999999</v>
      </c>
      <c r="H92" s="318">
        <f>H93+H96</f>
        <v>305.95636000000002</v>
      </c>
      <c r="I92" s="318"/>
      <c r="J92" s="336"/>
      <c r="K92" s="318"/>
      <c r="L92" s="336"/>
      <c r="M92" s="318"/>
      <c r="N92" s="337"/>
    </row>
    <row r="93" spans="1:14" ht="15.75" x14ac:dyDescent="0.25">
      <c r="A93" s="305">
        <f t="shared" si="7"/>
        <v>86</v>
      </c>
      <c r="B93" s="369" t="s">
        <v>222</v>
      </c>
      <c r="C93" s="342">
        <f t="shared" si="6"/>
        <v>287</v>
      </c>
      <c r="D93" s="343">
        <f t="shared" si="6"/>
        <v>287</v>
      </c>
      <c r="E93" s="370"/>
      <c r="F93" s="347"/>
      <c r="G93" s="346">
        <v>287</v>
      </c>
      <c r="H93" s="347">
        <v>287</v>
      </c>
      <c r="I93" s="346"/>
      <c r="J93" s="377"/>
      <c r="K93" s="346"/>
      <c r="L93" s="348"/>
      <c r="M93" s="346"/>
      <c r="N93" s="347"/>
    </row>
    <row r="94" spans="1:14" ht="15.75" x14ac:dyDescent="0.25">
      <c r="A94" s="44">
        <f t="shared" si="7"/>
        <v>87</v>
      </c>
      <c r="B94" s="359" t="s">
        <v>223</v>
      </c>
      <c r="C94" s="350">
        <f t="shared" si="6"/>
        <v>120</v>
      </c>
      <c r="D94" s="351">
        <f t="shared" si="6"/>
        <v>118.72516</v>
      </c>
      <c r="E94" s="352">
        <v>120</v>
      </c>
      <c r="F94" s="353">
        <v>118.72516</v>
      </c>
      <c r="G94" s="354"/>
      <c r="H94" s="353"/>
      <c r="I94" s="354"/>
      <c r="J94" s="378"/>
      <c r="K94" s="354"/>
      <c r="L94" s="355"/>
      <c r="M94" s="354"/>
      <c r="N94" s="353"/>
    </row>
    <row r="95" spans="1:14" ht="30" x14ac:dyDescent="0.25">
      <c r="A95" s="44">
        <f t="shared" si="7"/>
        <v>88</v>
      </c>
      <c r="B95" s="359" t="s">
        <v>224</v>
      </c>
      <c r="C95" s="350">
        <f t="shared" si="6"/>
        <v>59.672460000000001</v>
      </c>
      <c r="D95" s="351">
        <f t="shared" si="6"/>
        <v>59.672460000000001</v>
      </c>
      <c r="E95" s="352">
        <v>59.672460000000001</v>
      </c>
      <c r="F95" s="353">
        <v>59.672460000000001</v>
      </c>
      <c r="G95" s="382"/>
      <c r="H95" s="353"/>
      <c r="I95" s="354"/>
      <c r="J95" s="378"/>
      <c r="K95" s="354"/>
      <c r="L95" s="355"/>
      <c r="M95" s="354"/>
      <c r="N95" s="353"/>
    </row>
    <row r="96" spans="1:14" ht="15.75" x14ac:dyDescent="0.25">
      <c r="A96" s="44">
        <f t="shared" si="7"/>
        <v>89</v>
      </c>
      <c r="B96" s="359" t="s">
        <v>57</v>
      </c>
      <c r="C96" s="350">
        <f t="shared" si="6"/>
        <v>18.992999999999999</v>
      </c>
      <c r="D96" s="351">
        <f t="shared" si="6"/>
        <v>18.95636</v>
      </c>
      <c r="E96" s="352"/>
      <c r="F96" s="353"/>
      <c r="G96" s="382">
        <v>18.992999999999999</v>
      </c>
      <c r="H96" s="353">
        <v>18.95636</v>
      </c>
      <c r="I96" s="354"/>
      <c r="J96" s="378"/>
      <c r="K96" s="354"/>
      <c r="L96" s="355"/>
      <c r="M96" s="354"/>
      <c r="N96" s="353"/>
    </row>
    <row r="97" spans="1:14" ht="16.5" thickBot="1" x14ac:dyDescent="0.3">
      <c r="A97" s="309">
        <f t="shared" si="7"/>
        <v>90</v>
      </c>
      <c r="B97" s="360" t="s">
        <v>225</v>
      </c>
      <c r="C97" s="361">
        <f t="shared" si="6"/>
        <v>9.8759999999999994</v>
      </c>
      <c r="D97" s="362">
        <f t="shared" si="6"/>
        <v>9.8759999999999994</v>
      </c>
      <c r="E97" s="383">
        <v>9.8759999999999994</v>
      </c>
      <c r="F97" s="364">
        <v>9.8759999999999994</v>
      </c>
      <c r="G97" s="384"/>
      <c r="H97" s="364"/>
      <c r="I97" s="365"/>
      <c r="J97" s="380"/>
      <c r="K97" s="365"/>
      <c r="L97" s="366"/>
      <c r="M97" s="365"/>
      <c r="N97" s="364"/>
    </row>
    <row r="98" spans="1:14" ht="16.5" thickBot="1" x14ac:dyDescent="0.3">
      <c r="A98" s="306">
        <f t="shared" si="7"/>
        <v>91</v>
      </c>
      <c r="B98" s="335" t="s">
        <v>226</v>
      </c>
      <c r="C98" s="318">
        <f t="shared" si="6"/>
        <v>442.90433999999999</v>
      </c>
      <c r="D98" s="319">
        <f t="shared" si="6"/>
        <v>440.4454300000001</v>
      </c>
      <c r="E98" s="340">
        <f>SUM(E99:E118)</f>
        <v>311.90433999999999</v>
      </c>
      <c r="F98" s="319">
        <f>SUM(F99:F118)</f>
        <v>309.54658000000006</v>
      </c>
      <c r="G98" s="319">
        <f t="shared" ref="G98:H98" si="8">SUM(G99:G118)</f>
        <v>131</v>
      </c>
      <c r="H98" s="319">
        <f t="shared" si="8"/>
        <v>130.89885000000001</v>
      </c>
      <c r="I98" s="318"/>
      <c r="J98" s="337"/>
      <c r="K98" s="318"/>
      <c r="L98" s="337"/>
      <c r="M98" s="318"/>
      <c r="N98" s="337"/>
    </row>
    <row r="99" spans="1:14" ht="15.75" x14ac:dyDescent="0.25">
      <c r="A99" s="305">
        <f t="shared" si="7"/>
        <v>92</v>
      </c>
      <c r="B99" s="341" t="s">
        <v>227</v>
      </c>
      <c r="C99" s="342">
        <f t="shared" si="6"/>
        <v>35</v>
      </c>
      <c r="D99" s="343">
        <f t="shared" si="6"/>
        <v>35</v>
      </c>
      <c r="E99" s="370">
        <v>35</v>
      </c>
      <c r="F99" s="347">
        <v>35</v>
      </c>
      <c r="G99" s="346"/>
      <c r="H99" s="347"/>
      <c r="I99" s="346"/>
      <c r="J99" s="347"/>
      <c r="K99" s="346"/>
      <c r="L99" s="348"/>
      <c r="M99" s="346"/>
      <c r="N99" s="347"/>
    </row>
    <row r="100" spans="1:14" ht="15.75" x14ac:dyDescent="0.25">
      <c r="A100" s="44">
        <f t="shared" si="7"/>
        <v>93</v>
      </c>
      <c r="B100" s="349" t="s">
        <v>228</v>
      </c>
      <c r="C100" s="350">
        <f t="shared" si="6"/>
        <v>4</v>
      </c>
      <c r="D100" s="351">
        <f t="shared" si="6"/>
        <v>4</v>
      </c>
      <c r="E100" s="352">
        <v>4</v>
      </c>
      <c r="F100" s="353">
        <v>4</v>
      </c>
      <c r="G100" s="354"/>
      <c r="H100" s="353"/>
      <c r="I100" s="354"/>
      <c r="J100" s="353"/>
      <c r="K100" s="354"/>
      <c r="L100" s="355"/>
      <c r="M100" s="354"/>
      <c r="N100" s="353"/>
    </row>
    <row r="101" spans="1:14" ht="30" x14ac:dyDescent="0.25">
      <c r="A101" s="44">
        <f t="shared" si="7"/>
        <v>94</v>
      </c>
      <c r="B101" s="385" t="s">
        <v>229</v>
      </c>
      <c r="C101" s="350">
        <f t="shared" si="6"/>
        <v>0</v>
      </c>
      <c r="D101" s="351">
        <f t="shared" si="6"/>
        <v>0</v>
      </c>
      <c r="E101" s="352"/>
      <c r="F101" s="353"/>
      <c r="G101" s="354"/>
      <c r="H101" s="353"/>
      <c r="I101" s="354"/>
      <c r="J101" s="353"/>
      <c r="K101" s="354"/>
      <c r="L101" s="355"/>
      <c r="M101" s="354"/>
      <c r="N101" s="353"/>
    </row>
    <row r="102" spans="1:14" ht="15.75" x14ac:dyDescent="0.25">
      <c r="A102" s="44">
        <f t="shared" si="7"/>
        <v>95</v>
      </c>
      <c r="B102" s="349" t="s">
        <v>230</v>
      </c>
      <c r="C102" s="350">
        <f t="shared" si="6"/>
        <v>159.79249999999999</v>
      </c>
      <c r="D102" s="351">
        <f t="shared" si="6"/>
        <v>159.62635</v>
      </c>
      <c r="E102" s="352">
        <v>28.7925</v>
      </c>
      <c r="F102" s="353">
        <v>28.727499999999999</v>
      </c>
      <c r="G102" s="354">
        <v>131</v>
      </c>
      <c r="H102" s="353">
        <v>130.89885000000001</v>
      </c>
      <c r="I102" s="354"/>
      <c r="J102" s="353"/>
      <c r="K102" s="354"/>
      <c r="L102" s="355"/>
      <c r="M102" s="354"/>
      <c r="N102" s="353"/>
    </row>
    <row r="103" spans="1:14" ht="15.75" x14ac:dyDescent="0.25">
      <c r="A103" s="44">
        <f t="shared" si="7"/>
        <v>96</v>
      </c>
      <c r="B103" s="349" t="s">
        <v>231</v>
      </c>
      <c r="C103" s="350">
        <f t="shared" si="6"/>
        <v>1.9999999999999996</v>
      </c>
      <c r="D103" s="351">
        <f t="shared" si="6"/>
        <v>2</v>
      </c>
      <c r="E103" s="352">
        <f>5.64-3.64</f>
        <v>1.9999999999999996</v>
      </c>
      <c r="F103" s="353">
        <v>2</v>
      </c>
      <c r="G103" s="354"/>
      <c r="H103" s="353"/>
      <c r="I103" s="354"/>
      <c r="J103" s="353"/>
      <c r="K103" s="354"/>
      <c r="L103" s="355"/>
      <c r="M103" s="354"/>
      <c r="N103" s="353"/>
    </row>
    <row r="104" spans="1:14" ht="15.75" x14ac:dyDescent="0.25">
      <c r="A104" s="44">
        <f t="shared" si="7"/>
        <v>97</v>
      </c>
      <c r="B104" s="349" t="s">
        <v>232</v>
      </c>
      <c r="C104" s="350">
        <f t="shared" si="6"/>
        <v>4.5</v>
      </c>
      <c r="D104" s="351">
        <f t="shared" si="6"/>
        <v>4.07667</v>
      </c>
      <c r="E104" s="352">
        <f>5-0.5</f>
        <v>4.5</v>
      </c>
      <c r="F104" s="353">
        <v>4.07667</v>
      </c>
      <c r="G104" s="354"/>
      <c r="H104" s="353"/>
      <c r="I104" s="354"/>
      <c r="J104" s="353"/>
      <c r="K104" s="354"/>
      <c r="L104" s="355"/>
      <c r="M104" s="354"/>
      <c r="N104" s="353"/>
    </row>
    <row r="105" spans="1:14" ht="30" x14ac:dyDescent="0.25">
      <c r="A105" s="44">
        <f t="shared" si="7"/>
        <v>98</v>
      </c>
      <c r="B105" s="359" t="s">
        <v>233</v>
      </c>
      <c r="C105" s="350">
        <f t="shared" si="6"/>
        <v>7.1620000000000008</v>
      </c>
      <c r="D105" s="351">
        <f t="shared" si="6"/>
        <v>7.0567000000000002</v>
      </c>
      <c r="E105" s="352">
        <f>11.089-8.827+4.9</f>
        <v>7.1620000000000008</v>
      </c>
      <c r="F105" s="353">
        <v>7.0567000000000002</v>
      </c>
      <c r="G105" s="354"/>
      <c r="H105" s="353"/>
      <c r="I105" s="354"/>
      <c r="J105" s="353"/>
      <c r="K105" s="354"/>
      <c r="L105" s="355"/>
      <c r="M105" s="354"/>
      <c r="N105" s="353"/>
    </row>
    <row r="106" spans="1:14" ht="30" x14ac:dyDescent="0.25">
      <c r="A106" s="44">
        <f t="shared" si="7"/>
        <v>99</v>
      </c>
      <c r="B106" s="359" t="s">
        <v>234</v>
      </c>
      <c r="C106" s="350">
        <f t="shared" si="6"/>
        <v>25</v>
      </c>
      <c r="D106" s="351">
        <f t="shared" si="6"/>
        <v>25</v>
      </c>
      <c r="E106" s="352">
        <v>25</v>
      </c>
      <c r="F106" s="353">
        <v>25</v>
      </c>
      <c r="G106" s="354"/>
      <c r="H106" s="353"/>
      <c r="I106" s="354"/>
      <c r="J106" s="353"/>
      <c r="K106" s="354"/>
      <c r="L106" s="355"/>
      <c r="M106" s="354"/>
      <c r="N106" s="353"/>
    </row>
    <row r="107" spans="1:14" ht="15.75" x14ac:dyDescent="0.25">
      <c r="A107" s="44">
        <f t="shared" si="7"/>
        <v>100</v>
      </c>
      <c r="B107" s="359" t="s">
        <v>235</v>
      </c>
      <c r="C107" s="350">
        <f t="shared" si="6"/>
        <v>61.670999999999999</v>
      </c>
      <c r="D107" s="351">
        <f t="shared" si="6"/>
        <v>61.075299999999999</v>
      </c>
      <c r="E107" s="352">
        <f>52.9+3.64+5.131</f>
        <v>61.670999999999999</v>
      </c>
      <c r="F107" s="353">
        <v>61.075299999999999</v>
      </c>
      <c r="G107" s="354"/>
      <c r="H107" s="353"/>
      <c r="I107" s="354"/>
      <c r="J107" s="353"/>
      <c r="K107" s="354"/>
      <c r="L107" s="355"/>
      <c r="M107" s="354"/>
      <c r="N107" s="353"/>
    </row>
    <row r="108" spans="1:14" ht="15.75" x14ac:dyDescent="0.25">
      <c r="A108" s="44">
        <f t="shared" si="7"/>
        <v>101</v>
      </c>
      <c r="B108" s="359" t="s">
        <v>236</v>
      </c>
      <c r="C108" s="350">
        <f t="shared" si="6"/>
        <v>30</v>
      </c>
      <c r="D108" s="351">
        <f t="shared" si="6"/>
        <v>30</v>
      </c>
      <c r="E108" s="352">
        <v>30</v>
      </c>
      <c r="F108" s="353">
        <v>30</v>
      </c>
      <c r="G108" s="354"/>
      <c r="H108" s="353"/>
      <c r="I108" s="354"/>
      <c r="J108" s="353"/>
      <c r="K108" s="354"/>
      <c r="L108" s="355"/>
      <c r="M108" s="354"/>
      <c r="N108" s="353"/>
    </row>
    <row r="109" spans="1:14" ht="30" x14ac:dyDescent="0.25">
      <c r="A109" s="44">
        <f t="shared" si="7"/>
        <v>102</v>
      </c>
      <c r="B109" s="359" t="s">
        <v>237</v>
      </c>
      <c r="C109" s="350">
        <f t="shared" si="6"/>
        <v>20</v>
      </c>
      <c r="D109" s="351">
        <f t="shared" si="6"/>
        <v>20</v>
      </c>
      <c r="E109" s="352">
        <v>20</v>
      </c>
      <c r="F109" s="353">
        <v>20</v>
      </c>
      <c r="G109" s="354"/>
      <c r="H109" s="353"/>
      <c r="I109" s="354"/>
      <c r="J109" s="353"/>
      <c r="K109" s="354"/>
      <c r="L109" s="355"/>
      <c r="M109" s="354"/>
      <c r="N109" s="353"/>
    </row>
    <row r="110" spans="1:14" ht="15.75" x14ac:dyDescent="0.25">
      <c r="A110" s="44">
        <f t="shared" si="7"/>
        <v>103</v>
      </c>
      <c r="B110" s="349" t="s">
        <v>238</v>
      </c>
      <c r="C110" s="350">
        <f t="shared" si="6"/>
        <v>3.3</v>
      </c>
      <c r="D110" s="351">
        <f t="shared" si="6"/>
        <v>2.8780700000000001</v>
      </c>
      <c r="E110" s="352">
        <v>3.3</v>
      </c>
      <c r="F110" s="353">
        <v>2.8780700000000001</v>
      </c>
      <c r="G110" s="354"/>
      <c r="H110" s="353"/>
      <c r="I110" s="354"/>
      <c r="J110" s="353"/>
      <c r="K110" s="354"/>
      <c r="L110" s="355"/>
      <c r="M110" s="354"/>
      <c r="N110" s="353"/>
    </row>
    <row r="111" spans="1:14" ht="30" x14ac:dyDescent="0.25">
      <c r="A111" s="44">
        <f t="shared" si="7"/>
        <v>104</v>
      </c>
      <c r="B111" s="359" t="s">
        <v>239</v>
      </c>
      <c r="C111" s="350">
        <f t="shared" si="6"/>
        <v>7</v>
      </c>
      <c r="D111" s="351">
        <f t="shared" si="6"/>
        <v>7</v>
      </c>
      <c r="E111" s="352">
        <v>7</v>
      </c>
      <c r="F111" s="353">
        <v>7</v>
      </c>
      <c r="G111" s="354"/>
      <c r="H111" s="353"/>
      <c r="I111" s="354"/>
      <c r="J111" s="353"/>
      <c r="K111" s="354"/>
      <c r="L111" s="355"/>
      <c r="M111" s="354"/>
      <c r="N111" s="353"/>
    </row>
    <row r="112" spans="1:14" ht="15.75" x14ac:dyDescent="0.25">
      <c r="A112" s="44">
        <f t="shared" si="7"/>
        <v>105</v>
      </c>
      <c r="B112" s="359" t="s">
        <v>240</v>
      </c>
      <c r="C112" s="350">
        <f t="shared" si="6"/>
        <v>22.2</v>
      </c>
      <c r="D112" s="351">
        <f t="shared" si="6"/>
        <v>22.2</v>
      </c>
      <c r="E112" s="352">
        <v>22.2</v>
      </c>
      <c r="F112" s="353">
        <v>22.2</v>
      </c>
      <c r="G112" s="354"/>
      <c r="H112" s="353"/>
      <c r="I112" s="354"/>
      <c r="J112" s="353"/>
      <c r="K112" s="354"/>
      <c r="L112" s="355"/>
      <c r="M112" s="354"/>
      <c r="N112" s="353"/>
    </row>
    <row r="113" spans="1:14" ht="30" x14ac:dyDescent="0.25">
      <c r="A113" s="44">
        <f t="shared" si="7"/>
        <v>106</v>
      </c>
      <c r="B113" s="359" t="s">
        <v>241</v>
      </c>
      <c r="C113" s="350">
        <f t="shared" si="6"/>
        <v>20</v>
      </c>
      <c r="D113" s="351">
        <f t="shared" si="6"/>
        <v>19.95</v>
      </c>
      <c r="E113" s="352">
        <v>20</v>
      </c>
      <c r="F113" s="353">
        <v>19.95</v>
      </c>
      <c r="G113" s="354"/>
      <c r="H113" s="353"/>
      <c r="I113" s="354"/>
      <c r="J113" s="353"/>
      <c r="K113" s="354"/>
      <c r="L113" s="355"/>
      <c r="M113" s="354"/>
      <c r="N113" s="353"/>
    </row>
    <row r="114" spans="1:14" ht="15.75" x14ac:dyDescent="0.25">
      <c r="A114" s="44">
        <f t="shared" si="7"/>
        <v>107</v>
      </c>
      <c r="B114" s="359" t="s">
        <v>242</v>
      </c>
      <c r="C114" s="350">
        <f t="shared" si="6"/>
        <v>4</v>
      </c>
      <c r="D114" s="351">
        <f t="shared" si="6"/>
        <v>4</v>
      </c>
      <c r="E114" s="352">
        <v>4</v>
      </c>
      <c r="F114" s="353">
        <v>4</v>
      </c>
      <c r="G114" s="354"/>
      <c r="H114" s="353"/>
      <c r="I114" s="354"/>
      <c r="J114" s="353"/>
      <c r="K114" s="354"/>
      <c r="L114" s="355"/>
      <c r="M114" s="354"/>
      <c r="N114" s="353"/>
    </row>
    <row r="115" spans="1:14" ht="15.75" x14ac:dyDescent="0.25">
      <c r="A115" s="44">
        <f t="shared" si="7"/>
        <v>108</v>
      </c>
      <c r="B115" s="349" t="s">
        <v>243</v>
      </c>
      <c r="C115" s="350">
        <f t="shared" si="6"/>
        <v>29.513739999999999</v>
      </c>
      <c r="D115" s="351">
        <f t="shared" si="6"/>
        <v>29.11374</v>
      </c>
      <c r="E115" s="352">
        <f>34-4.48626</f>
        <v>29.513739999999999</v>
      </c>
      <c r="F115" s="353">
        <v>29.11374</v>
      </c>
      <c r="G115" s="354"/>
      <c r="H115" s="353"/>
      <c r="I115" s="354"/>
      <c r="J115" s="353"/>
      <c r="K115" s="354"/>
      <c r="L115" s="355"/>
      <c r="M115" s="354"/>
      <c r="N115" s="353"/>
    </row>
    <row r="116" spans="1:14" ht="15.75" x14ac:dyDescent="0.25">
      <c r="A116" s="44">
        <f t="shared" si="7"/>
        <v>109</v>
      </c>
      <c r="B116" s="359" t="s">
        <v>244</v>
      </c>
      <c r="C116" s="350">
        <f t="shared" si="6"/>
        <v>6.5</v>
      </c>
      <c r="D116" s="351">
        <f t="shared" si="6"/>
        <v>6.2035</v>
      </c>
      <c r="E116" s="352">
        <v>6.5</v>
      </c>
      <c r="F116" s="353">
        <v>6.2035</v>
      </c>
      <c r="G116" s="354"/>
      <c r="H116" s="353"/>
      <c r="I116" s="354"/>
      <c r="J116" s="353"/>
      <c r="K116" s="354"/>
      <c r="L116" s="355"/>
      <c r="M116" s="354"/>
      <c r="N116" s="353"/>
    </row>
    <row r="117" spans="1:14" ht="75" x14ac:dyDescent="0.25">
      <c r="A117" s="44">
        <f t="shared" si="7"/>
        <v>110</v>
      </c>
      <c r="B117" s="359" t="s">
        <v>68</v>
      </c>
      <c r="C117" s="350">
        <f t="shared" si="6"/>
        <v>0</v>
      </c>
      <c r="D117" s="351">
        <f t="shared" si="6"/>
        <v>0</v>
      </c>
      <c r="E117" s="352"/>
      <c r="F117" s="353"/>
      <c r="G117" s="354"/>
      <c r="H117" s="353"/>
      <c r="I117" s="354"/>
      <c r="J117" s="353"/>
      <c r="K117" s="354"/>
      <c r="L117" s="355"/>
      <c r="M117" s="354"/>
      <c r="N117" s="353"/>
    </row>
    <row r="118" spans="1:14" ht="45.75" thickBot="1" x14ac:dyDescent="0.3">
      <c r="A118" s="309">
        <f t="shared" si="7"/>
        <v>111</v>
      </c>
      <c r="B118" s="386" t="s">
        <v>245</v>
      </c>
      <c r="C118" s="361">
        <f t="shared" si="6"/>
        <v>1.2650999999999999</v>
      </c>
      <c r="D118" s="362">
        <f t="shared" si="6"/>
        <v>1.2650999999999999</v>
      </c>
      <c r="E118" s="363">
        <v>1.2650999999999999</v>
      </c>
      <c r="F118" s="364">
        <v>1.2650999999999999</v>
      </c>
      <c r="G118" s="365"/>
      <c r="H118" s="364"/>
      <c r="I118" s="365"/>
      <c r="J118" s="364"/>
      <c r="K118" s="365"/>
      <c r="L118" s="366"/>
      <c r="M118" s="365"/>
      <c r="N118" s="364"/>
    </row>
    <row r="119" spans="1:14" ht="32.25" thickBot="1" x14ac:dyDescent="0.3">
      <c r="A119" s="306">
        <f t="shared" si="7"/>
        <v>112</v>
      </c>
      <c r="B119" s="373" t="s">
        <v>246</v>
      </c>
      <c r="C119" s="318">
        <f t="shared" si="6"/>
        <v>264.26500000000004</v>
      </c>
      <c r="D119" s="319">
        <f t="shared" si="6"/>
        <v>258.69815</v>
      </c>
      <c r="E119" s="340">
        <f>SUM(E120:E128)</f>
        <v>264.26500000000004</v>
      </c>
      <c r="F119" s="339">
        <f>SUM(F120:F128)</f>
        <v>258.69815</v>
      </c>
      <c r="G119" s="318"/>
      <c r="H119" s="340"/>
      <c r="I119" s="318"/>
      <c r="J119" s="340"/>
      <c r="K119" s="318"/>
      <c r="L119" s="340"/>
      <c r="M119" s="318"/>
      <c r="N119" s="337"/>
    </row>
    <row r="120" spans="1:14" ht="15.75" x14ac:dyDescent="0.25">
      <c r="A120" s="305">
        <f t="shared" si="7"/>
        <v>113</v>
      </c>
      <c r="B120" s="369" t="s">
        <v>247</v>
      </c>
      <c r="C120" s="342">
        <f t="shared" si="6"/>
        <v>15.865000000000002</v>
      </c>
      <c r="D120" s="343">
        <f t="shared" si="6"/>
        <v>15.542619999999999</v>
      </c>
      <c r="E120" s="370">
        <f>16+2.865-3</f>
        <v>15.865000000000002</v>
      </c>
      <c r="F120" s="347">
        <v>15.542619999999999</v>
      </c>
      <c r="G120" s="346"/>
      <c r="H120" s="347"/>
      <c r="I120" s="346"/>
      <c r="J120" s="347"/>
      <c r="K120" s="346"/>
      <c r="L120" s="348"/>
      <c r="M120" s="346"/>
      <c r="N120" s="347"/>
    </row>
    <row r="121" spans="1:14" ht="15.75" x14ac:dyDescent="0.25">
      <c r="A121" s="44">
        <f t="shared" si="7"/>
        <v>114</v>
      </c>
      <c r="B121" s="359" t="s">
        <v>248</v>
      </c>
      <c r="C121" s="350">
        <f t="shared" si="6"/>
        <v>65</v>
      </c>
      <c r="D121" s="351">
        <f t="shared" si="6"/>
        <v>65</v>
      </c>
      <c r="E121" s="352">
        <v>65</v>
      </c>
      <c r="F121" s="353">
        <v>65</v>
      </c>
      <c r="G121" s="354"/>
      <c r="H121" s="353"/>
      <c r="I121" s="354"/>
      <c r="J121" s="353"/>
      <c r="K121" s="354"/>
      <c r="L121" s="355"/>
      <c r="M121" s="354"/>
      <c r="N121" s="353"/>
    </row>
    <row r="122" spans="1:14" ht="30" x14ac:dyDescent="0.25">
      <c r="A122" s="44">
        <f t="shared" si="7"/>
        <v>115</v>
      </c>
      <c r="B122" s="359" t="s">
        <v>212</v>
      </c>
      <c r="C122" s="350">
        <f t="shared" si="6"/>
        <v>16</v>
      </c>
      <c r="D122" s="351">
        <f t="shared" si="6"/>
        <v>16</v>
      </c>
      <c r="E122" s="352">
        <v>16</v>
      </c>
      <c r="F122" s="353">
        <v>16</v>
      </c>
      <c r="G122" s="354"/>
      <c r="H122" s="353"/>
      <c r="I122" s="354"/>
      <c r="J122" s="353"/>
      <c r="K122" s="354"/>
      <c r="L122" s="355"/>
      <c r="M122" s="354"/>
      <c r="N122" s="353"/>
    </row>
    <row r="123" spans="1:14" ht="30" x14ac:dyDescent="0.25">
      <c r="A123" s="44">
        <f t="shared" si="7"/>
        <v>116</v>
      </c>
      <c r="B123" s="359" t="s">
        <v>249</v>
      </c>
      <c r="C123" s="350">
        <f t="shared" si="6"/>
        <v>41.8</v>
      </c>
      <c r="D123" s="351">
        <f t="shared" si="6"/>
        <v>40.474699999999999</v>
      </c>
      <c r="E123" s="352">
        <f>45-3.2</f>
        <v>41.8</v>
      </c>
      <c r="F123" s="353">
        <v>40.474699999999999</v>
      </c>
      <c r="G123" s="354"/>
      <c r="H123" s="353"/>
      <c r="I123" s="354"/>
      <c r="J123" s="353"/>
      <c r="K123" s="354"/>
      <c r="L123" s="355"/>
      <c r="M123" s="354"/>
      <c r="N123" s="353"/>
    </row>
    <row r="124" spans="1:14" ht="45" x14ac:dyDescent="0.25">
      <c r="A124" s="44">
        <f t="shared" si="7"/>
        <v>117</v>
      </c>
      <c r="B124" s="359" t="s">
        <v>250</v>
      </c>
      <c r="C124" s="350">
        <f t="shared" si="6"/>
        <v>15</v>
      </c>
      <c r="D124" s="351">
        <f t="shared" si="6"/>
        <v>15</v>
      </c>
      <c r="E124" s="352">
        <v>15</v>
      </c>
      <c r="F124" s="353">
        <v>15</v>
      </c>
      <c r="G124" s="354"/>
      <c r="H124" s="353"/>
      <c r="I124" s="354"/>
      <c r="J124" s="353"/>
      <c r="K124" s="354"/>
      <c r="L124" s="355"/>
      <c r="M124" s="354"/>
      <c r="N124" s="353"/>
    </row>
    <row r="125" spans="1:14" ht="15.75" x14ac:dyDescent="0.25">
      <c r="A125" s="44">
        <f t="shared" si="7"/>
        <v>118</v>
      </c>
      <c r="B125" s="359" t="s">
        <v>251</v>
      </c>
      <c r="C125" s="350">
        <f t="shared" si="6"/>
        <v>20</v>
      </c>
      <c r="D125" s="351">
        <f t="shared" si="6"/>
        <v>20</v>
      </c>
      <c r="E125" s="352">
        <v>20</v>
      </c>
      <c r="F125" s="353">
        <v>20</v>
      </c>
      <c r="G125" s="354"/>
      <c r="H125" s="353"/>
      <c r="I125" s="354"/>
      <c r="J125" s="353"/>
      <c r="K125" s="354"/>
      <c r="L125" s="355"/>
      <c r="M125" s="354"/>
      <c r="N125" s="353"/>
    </row>
    <row r="126" spans="1:14" ht="30" x14ac:dyDescent="0.25">
      <c r="A126" s="44">
        <f t="shared" si="7"/>
        <v>119</v>
      </c>
      <c r="B126" s="359" t="s">
        <v>252</v>
      </c>
      <c r="C126" s="350">
        <f t="shared" si="6"/>
        <v>11</v>
      </c>
      <c r="D126" s="351">
        <f t="shared" si="6"/>
        <v>10.999420000000001</v>
      </c>
      <c r="E126" s="352">
        <v>11</v>
      </c>
      <c r="F126" s="353">
        <v>10.999420000000001</v>
      </c>
      <c r="G126" s="354"/>
      <c r="H126" s="353"/>
      <c r="I126" s="354"/>
      <c r="J126" s="353"/>
      <c r="K126" s="354"/>
      <c r="L126" s="355"/>
      <c r="M126" s="354"/>
      <c r="N126" s="353"/>
    </row>
    <row r="127" spans="1:14" ht="15.75" x14ac:dyDescent="0.25">
      <c r="A127" s="44">
        <f t="shared" si="7"/>
        <v>120</v>
      </c>
      <c r="B127" s="359" t="s">
        <v>253</v>
      </c>
      <c r="C127" s="350">
        <f t="shared" si="6"/>
        <v>43.3</v>
      </c>
      <c r="D127" s="351">
        <f t="shared" si="6"/>
        <v>43.3</v>
      </c>
      <c r="E127" s="352">
        <v>43.3</v>
      </c>
      <c r="F127" s="353">
        <v>43.3</v>
      </c>
      <c r="G127" s="354"/>
      <c r="H127" s="353"/>
      <c r="I127" s="354"/>
      <c r="J127" s="353"/>
      <c r="K127" s="354"/>
      <c r="L127" s="355"/>
      <c r="M127" s="354"/>
      <c r="N127" s="353"/>
    </row>
    <row r="128" spans="1:14" ht="30" x14ac:dyDescent="0.25">
      <c r="A128" s="44">
        <f t="shared" si="7"/>
        <v>121</v>
      </c>
      <c r="B128" s="359" t="s">
        <v>254</v>
      </c>
      <c r="C128" s="350">
        <f t="shared" si="6"/>
        <v>36.299999999999997</v>
      </c>
      <c r="D128" s="351">
        <f t="shared" si="6"/>
        <v>32.381410000000002</v>
      </c>
      <c r="E128" s="352">
        <v>36.299999999999997</v>
      </c>
      <c r="F128" s="353">
        <v>32.381410000000002</v>
      </c>
      <c r="G128" s="354"/>
      <c r="H128" s="353"/>
      <c r="I128" s="354"/>
      <c r="J128" s="353"/>
      <c r="K128" s="354"/>
      <c r="L128" s="355"/>
      <c r="M128" s="354"/>
      <c r="N128" s="353"/>
    </row>
    <row r="129" spans="1:14" ht="15.75" x14ac:dyDescent="0.25">
      <c r="A129" s="47">
        <f t="shared" si="7"/>
        <v>122</v>
      </c>
      <c r="B129" s="387" t="s">
        <v>255</v>
      </c>
      <c r="C129" s="350">
        <f t="shared" si="6"/>
        <v>1465.4619999999998</v>
      </c>
      <c r="D129" s="351">
        <f t="shared" si="6"/>
        <v>1465.462</v>
      </c>
      <c r="E129" s="388">
        <f>63.932+70+9.83</f>
        <v>143.76200000000003</v>
      </c>
      <c r="F129" s="351">
        <v>143.762</v>
      </c>
      <c r="G129" s="350">
        <f>1234.6+72+15.1</f>
        <v>1321.6999999999998</v>
      </c>
      <c r="H129" s="351">
        <v>1321.7</v>
      </c>
      <c r="I129" s="350"/>
      <c r="J129" s="351"/>
      <c r="K129" s="350"/>
      <c r="L129" s="389"/>
      <c r="M129" s="350"/>
      <c r="N129" s="351"/>
    </row>
    <row r="130" spans="1:14" ht="15.75" x14ac:dyDescent="0.25">
      <c r="A130" s="47">
        <f t="shared" si="7"/>
        <v>123</v>
      </c>
      <c r="B130" s="387" t="s">
        <v>256</v>
      </c>
      <c r="C130" s="350">
        <f t="shared" si="6"/>
        <v>795.73099999999999</v>
      </c>
      <c r="D130" s="351">
        <f t="shared" si="6"/>
        <v>766.45137999999997</v>
      </c>
      <c r="E130" s="388">
        <v>734.93100000000004</v>
      </c>
      <c r="F130" s="351">
        <v>716.90369999999996</v>
      </c>
      <c r="G130" s="350"/>
      <c r="H130" s="351"/>
      <c r="I130" s="350"/>
      <c r="J130" s="351"/>
      <c r="K130" s="350">
        <f>45.8+15</f>
        <v>60.8</v>
      </c>
      <c r="L130" s="389">
        <v>49.54768</v>
      </c>
      <c r="M130" s="350"/>
      <c r="N130" s="351"/>
    </row>
    <row r="131" spans="1:14" ht="15.75" x14ac:dyDescent="0.25">
      <c r="A131" s="47">
        <f t="shared" si="7"/>
        <v>124</v>
      </c>
      <c r="B131" s="387" t="s">
        <v>257</v>
      </c>
      <c r="C131" s="350">
        <f t="shared" si="6"/>
        <v>888.30100000000004</v>
      </c>
      <c r="D131" s="351">
        <f t="shared" si="6"/>
        <v>888.30100000000004</v>
      </c>
      <c r="E131" s="388">
        <v>828.30100000000004</v>
      </c>
      <c r="F131" s="351">
        <v>828.30100000000004</v>
      </c>
      <c r="G131" s="350"/>
      <c r="H131" s="351"/>
      <c r="I131" s="350"/>
      <c r="J131" s="351"/>
      <c r="K131" s="350">
        <f>55+5</f>
        <v>60</v>
      </c>
      <c r="L131" s="389">
        <v>60</v>
      </c>
      <c r="M131" s="350"/>
      <c r="N131" s="351"/>
    </row>
    <row r="132" spans="1:14" ht="15.75" x14ac:dyDescent="0.25">
      <c r="A132" s="47">
        <f t="shared" si="7"/>
        <v>125</v>
      </c>
      <c r="B132" s="390" t="s">
        <v>258</v>
      </c>
      <c r="C132" s="350">
        <f t="shared" si="6"/>
        <v>1161.3230000000001</v>
      </c>
      <c r="D132" s="351">
        <f t="shared" si="6"/>
        <v>1161.1482700000001</v>
      </c>
      <c r="E132" s="388">
        <v>1123.9590000000001</v>
      </c>
      <c r="F132" s="351">
        <v>1123.7842700000001</v>
      </c>
      <c r="G132" s="350">
        <v>33.564</v>
      </c>
      <c r="H132" s="351">
        <v>33.564</v>
      </c>
      <c r="I132" s="350"/>
      <c r="J132" s="351"/>
      <c r="K132" s="350">
        <v>3.8</v>
      </c>
      <c r="L132" s="389">
        <v>3.8</v>
      </c>
      <c r="M132" s="350"/>
      <c r="N132" s="351"/>
    </row>
    <row r="133" spans="1:14" ht="15.75" x14ac:dyDescent="0.25">
      <c r="A133" s="47">
        <f t="shared" si="7"/>
        <v>126</v>
      </c>
      <c r="B133" s="387" t="s">
        <v>259</v>
      </c>
      <c r="C133" s="350">
        <f t="shared" si="6"/>
        <v>673.94399999999996</v>
      </c>
      <c r="D133" s="351">
        <f t="shared" si="6"/>
        <v>670.09166000000005</v>
      </c>
      <c r="E133" s="388">
        <f>689.472-40+3.472</f>
        <v>652.94399999999996</v>
      </c>
      <c r="F133" s="351">
        <v>652.73104000000001</v>
      </c>
      <c r="G133" s="350"/>
      <c r="H133" s="351"/>
      <c r="I133" s="350"/>
      <c r="J133" s="351"/>
      <c r="K133" s="350">
        <v>21</v>
      </c>
      <c r="L133" s="389">
        <v>17.360620000000001</v>
      </c>
      <c r="M133" s="350"/>
      <c r="N133" s="351"/>
    </row>
    <row r="134" spans="1:14" ht="15.75" x14ac:dyDescent="0.25">
      <c r="A134" s="47">
        <f t="shared" si="7"/>
        <v>127</v>
      </c>
      <c r="B134" s="391" t="s">
        <v>260</v>
      </c>
      <c r="C134" s="350">
        <f t="shared" si="6"/>
        <v>1344.0030300000001</v>
      </c>
      <c r="D134" s="351">
        <f t="shared" si="6"/>
        <v>1298.5689599999998</v>
      </c>
      <c r="E134" s="388">
        <v>994.84402999999998</v>
      </c>
      <c r="F134" s="351">
        <v>990.67728</v>
      </c>
      <c r="G134" s="392">
        <v>104.563</v>
      </c>
      <c r="H134" s="393">
        <v>104.563</v>
      </c>
      <c r="I134" s="350"/>
      <c r="J134" s="351"/>
      <c r="K134" s="350">
        <f>160+10</f>
        <v>170</v>
      </c>
      <c r="L134" s="389">
        <v>128.73282</v>
      </c>
      <c r="M134" s="350">
        <v>74.596000000000004</v>
      </c>
      <c r="N134" s="351">
        <v>74.595860000000002</v>
      </c>
    </row>
    <row r="135" spans="1:14" ht="15.75" x14ac:dyDescent="0.25">
      <c r="A135" s="47">
        <f t="shared" si="7"/>
        <v>128</v>
      </c>
      <c r="B135" s="394" t="s">
        <v>261</v>
      </c>
      <c r="C135" s="350">
        <f t="shared" si="6"/>
        <v>672.32314999999994</v>
      </c>
      <c r="D135" s="351">
        <f t="shared" si="6"/>
        <v>672.32314999999994</v>
      </c>
      <c r="E135" s="388">
        <f>24.378+0.9</f>
        <v>25.277999999999999</v>
      </c>
      <c r="F135" s="351">
        <v>25.277999999999999</v>
      </c>
      <c r="G135" s="350">
        <v>287.89999999999998</v>
      </c>
      <c r="H135" s="351">
        <v>287.89999999999998</v>
      </c>
      <c r="I135" s="350"/>
      <c r="J135" s="351"/>
      <c r="K135" s="350">
        <f>336.4+4.17515+3.32485</f>
        <v>343.9</v>
      </c>
      <c r="L135" s="389">
        <v>343.9</v>
      </c>
      <c r="M135" s="350">
        <v>15.245150000000001</v>
      </c>
      <c r="N135" s="351">
        <v>15.245150000000001</v>
      </c>
    </row>
    <row r="136" spans="1:14" ht="15.75" x14ac:dyDescent="0.25">
      <c r="A136" s="47">
        <f t="shared" si="7"/>
        <v>129</v>
      </c>
      <c r="B136" s="394" t="s">
        <v>262</v>
      </c>
      <c r="C136" s="350">
        <f t="shared" si="6"/>
        <v>644.33500000000004</v>
      </c>
      <c r="D136" s="351">
        <f t="shared" si="6"/>
        <v>541.88819000000001</v>
      </c>
      <c r="E136" s="388">
        <v>344.33499999999998</v>
      </c>
      <c r="F136" s="351">
        <v>344.13157999999999</v>
      </c>
      <c r="G136" s="350"/>
      <c r="H136" s="351"/>
      <c r="I136" s="350"/>
      <c r="J136" s="351"/>
      <c r="K136" s="350">
        <f>200+100</f>
        <v>300</v>
      </c>
      <c r="L136" s="389">
        <v>197.75660999999999</v>
      </c>
      <c r="M136" s="350"/>
      <c r="N136" s="351"/>
    </row>
    <row r="137" spans="1:14" ht="15.75" x14ac:dyDescent="0.25">
      <c r="A137" s="47">
        <f t="shared" si="7"/>
        <v>130</v>
      </c>
      <c r="B137" s="394" t="s">
        <v>263</v>
      </c>
      <c r="C137" s="350">
        <f t="shared" ref="C137:D180" si="9">E137+G137+I137+K137+M137</f>
        <v>1965.6779099999999</v>
      </c>
      <c r="D137" s="351">
        <f>F137+H138+J137+L137+N137</f>
        <v>1279.8022899999999</v>
      </c>
      <c r="E137" s="388">
        <f>1205.873-33</f>
        <v>1172.873</v>
      </c>
      <c r="F137" s="351">
        <v>1163.3353999999999</v>
      </c>
      <c r="G137" s="350">
        <f>711.996-88+40+5.505+3.796</f>
        <v>673.29700000000003</v>
      </c>
      <c r="H137" s="327">
        <v>673.29700000000003</v>
      </c>
      <c r="I137" s="350"/>
      <c r="J137" s="351"/>
      <c r="K137" s="350">
        <f>58.745+34</f>
        <v>92.745000000000005</v>
      </c>
      <c r="L137" s="389">
        <v>89.703980000000001</v>
      </c>
      <c r="M137" s="350">
        <v>26.762910000000002</v>
      </c>
      <c r="N137" s="351">
        <v>26.762910000000002</v>
      </c>
    </row>
    <row r="138" spans="1:14" ht="15.75" x14ac:dyDescent="0.25">
      <c r="A138" s="47">
        <f t="shared" si="7"/>
        <v>131</v>
      </c>
      <c r="B138" s="395" t="s">
        <v>264</v>
      </c>
      <c r="C138" s="350">
        <f t="shared" si="9"/>
        <v>67.900000000000006</v>
      </c>
      <c r="D138" s="351">
        <f>F138+H139+J138+L138+N138</f>
        <v>80.604579999999999</v>
      </c>
      <c r="E138" s="388">
        <v>67.900000000000006</v>
      </c>
      <c r="F138" s="351">
        <v>65.992580000000004</v>
      </c>
      <c r="G138" s="350"/>
      <c r="H138" s="351"/>
      <c r="I138" s="350"/>
      <c r="J138" s="351"/>
      <c r="K138" s="350"/>
      <c r="L138" s="389"/>
      <c r="M138" s="350"/>
      <c r="N138" s="351"/>
    </row>
    <row r="139" spans="1:14" ht="15.75" x14ac:dyDescent="0.25">
      <c r="A139" s="47">
        <f t="shared" ref="A139:A182" si="10">A138+1</f>
        <v>132</v>
      </c>
      <c r="B139" s="387" t="s">
        <v>265</v>
      </c>
      <c r="C139" s="350">
        <f t="shared" si="9"/>
        <v>136.61699999999999</v>
      </c>
      <c r="D139" s="351">
        <f t="shared" si="9"/>
        <v>119.87980999999999</v>
      </c>
      <c r="E139" s="388">
        <f>126.329-6</f>
        <v>120.32899999999999</v>
      </c>
      <c r="F139" s="351">
        <v>105.26781</v>
      </c>
      <c r="G139" s="350">
        <f>20.684-3.92-1.176</f>
        <v>15.588000000000003</v>
      </c>
      <c r="H139" s="351">
        <v>14.612</v>
      </c>
      <c r="I139" s="350"/>
      <c r="J139" s="351"/>
      <c r="K139" s="350">
        <v>0.7</v>
      </c>
      <c r="L139" s="389"/>
      <c r="M139" s="350"/>
      <c r="N139" s="351"/>
    </row>
    <row r="140" spans="1:14" ht="15.75" x14ac:dyDescent="0.25">
      <c r="A140" s="47">
        <f t="shared" si="10"/>
        <v>133</v>
      </c>
      <c r="B140" s="387" t="s">
        <v>266</v>
      </c>
      <c r="C140" s="350">
        <f t="shared" si="9"/>
        <v>105.66399999999999</v>
      </c>
      <c r="D140" s="351">
        <f t="shared" si="9"/>
        <v>103.92647999999998</v>
      </c>
      <c r="E140" s="388">
        <f>59.294+0.93+30.464</f>
        <v>90.687999999999988</v>
      </c>
      <c r="F140" s="351">
        <v>90.686359999999993</v>
      </c>
      <c r="G140" s="350">
        <f>15.396-3.92</f>
        <v>11.476000000000001</v>
      </c>
      <c r="H140" s="351">
        <v>10.3</v>
      </c>
      <c r="I140" s="350"/>
      <c r="J140" s="351"/>
      <c r="K140" s="350">
        <v>3.5</v>
      </c>
      <c r="L140" s="389">
        <v>2.9401199999999998</v>
      </c>
      <c r="M140" s="350"/>
      <c r="N140" s="351"/>
    </row>
    <row r="141" spans="1:14" ht="15.75" x14ac:dyDescent="0.25">
      <c r="A141" s="47">
        <f t="shared" si="10"/>
        <v>134</v>
      </c>
      <c r="B141" s="387" t="s">
        <v>267</v>
      </c>
      <c r="C141" s="350">
        <f t="shared" si="9"/>
        <v>114.372</v>
      </c>
      <c r="D141" s="351">
        <f t="shared" si="9"/>
        <v>108.90787</v>
      </c>
      <c r="E141" s="388">
        <f>91.514+1.11</f>
        <v>92.623999999999995</v>
      </c>
      <c r="F141" s="351">
        <v>92.511870000000002</v>
      </c>
      <c r="G141" s="350">
        <v>17.748000000000001</v>
      </c>
      <c r="H141" s="351">
        <v>15.396000000000001</v>
      </c>
      <c r="I141" s="350"/>
      <c r="J141" s="351"/>
      <c r="K141" s="350">
        <v>4</v>
      </c>
      <c r="L141" s="389">
        <v>1</v>
      </c>
      <c r="M141" s="350"/>
      <c r="N141" s="351"/>
    </row>
    <row r="142" spans="1:14" ht="15.75" x14ac:dyDescent="0.25">
      <c r="A142" s="47">
        <f t="shared" si="10"/>
        <v>135</v>
      </c>
      <c r="B142" s="387" t="s">
        <v>268</v>
      </c>
      <c r="C142" s="350">
        <f t="shared" si="9"/>
        <v>25.157</v>
      </c>
      <c r="D142" s="351">
        <f t="shared" si="9"/>
        <v>21.513249999999999</v>
      </c>
      <c r="E142" s="388">
        <f>21.129+0.5</f>
        <v>21.629000000000001</v>
      </c>
      <c r="F142" s="351">
        <v>18.76925</v>
      </c>
      <c r="G142" s="350">
        <f>6.664-3.136</f>
        <v>3.5279999999999996</v>
      </c>
      <c r="H142" s="351">
        <v>2.7440000000000002</v>
      </c>
      <c r="I142" s="350"/>
      <c r="J142" s="351"/>
      <c r="K142" s="350"/>
      <c r="L142" s="389"/>
      <c r="M142" s="350"/>
      <c r="N142" s="351"/>
    </row>
    <row r="143" spans="1:14" ht="15.75" x14ac:dyDescent="0.25">
      <c r="A143" s="47">
        <f t="shared" si="10"/>
        <v>136</v>
      </c>
      <c r="B143" s="387" t="s">
        <v>269</v>
      </c>
      <c r="C143" s="350">
        <f t="shared" si="9"/>
        <v>63.585999999999999</v>
      </c>
      <c r="D143" s="351">
        <f t="shared" si="9"/>
        <v>59.532589999999999</v>
      </c>
      <c r="E143" s="388">
        <f>64.674+0.6-15</f>
        <v>50.274000000000001</v>
      </c>
      <c r="F143" s="351">
        <v>50.160049999999998</v>
      </c>
      <c r="G143" s="350">
        <f>9.408+0.784</f>
        <v>10.192</v>
      </c>
      <c r="H143" s="351">
        <v>8.9179999999999993</v>
      </c>
      <c r="I143" s="350"/>
      <c r="J143" s="351"/>
      <c r="K143" s="350">
        <v>3.12</v>
      </c>
      <c r="L143" s="389">
        <v>0.45454</v>
      </c>
      <c r="M143" s="350"/>
      <c r="N143" s="351"/>
    </row>
    <row r="144" spans="1:14" ht="15.75" x14ac:dyDescent="0.25">
      <c r="A144" s="47">
        <f t="shared" si="10"/>
        <v>137</v>
      </c>
      <c r="B144" s="390" t="s">
        <v>270</v>
      </c>
      <c r="C144" s="350">
        <f t="shared" si="9"/>
        <v>134.54900000000001</v>
      </c>
      <c r="D144" s="351">
        <f t="shared" si="9"/>
        <v>133.02376000000001</v>
      </c>
      <c r="E144" s="388">
        <f>111.733+1.14+0.7</f>
        <v>113.57300000000001</v>
      </c>
      <c r="F144" s="351">
        <v>113.55446000000001</v>
      </c>
      <c r="G144" s="350">
        <f>27.832-6.28-1.176</f>
        <v>20.376000000000001</v>
      </c>
      <c r="H144" s="351">
        <v>19.207999999999998</v>
      </c>
      <c r="I144" s="350"/>
      <c r="J144" s="351"/>
      <c r="K144" s="350">
        <v>0.6</v>
      </c>
      <c r="L144" s="389">
        <v>0.26129999999999998</v>
      </c>
      <c r="M144" s="350"/>
      <c r="N144" s="351"/>
    </row>
    <row r="145" spans="1:14" ht="15.75" x14ac:dyDescent="0.25">
      <c r="A145" s="47">
        <f t="shared" si="10"/>
        <v>138</v>
      </c>
      <c r="B145" s="387" t="s">
        <v>271</v>
      </c>
      <c r="C145" s="350">
        <f t="shared" si="9"/>
        <v>168.21199999999999</v>
      </c>
      <c r="D145" s="351">
        <f t="shared" si="9"/>
        <v>166.70182000000003</v>
      </c>
      <c r="E145" s="388">
        <f>129.634+15+1.41</f>
        <v>146.04399999999998</v>
      </c>
      <c r="F145" s="351">
        <v>146.00782000000001</v>
      </c>
      <c r="G145" s="350">
        <f>22.452-0.784</f>
        <v>21.668000000000003</v>
      </c>
      <c r="H145" s="351">
        <v>20.393999999999998</v>
      </c>
      <c r="I145" s="350"/>
      <c r="J145" s="351"/>
      <c r="K145" s="350">
        <v>0.5</v>
      </c>
      <c r="L145" s="389">
        <v>0.3</v>
      </c>
      <c r="M145" s="350"/>
      <c r="N145" s="351"/>
    </row>
    <row r="146" spans="1:14" ht="15.75" x14ac:dyDescent="0.25">
      <c r="A146" s="47">
        <f t="shared" si="10"/>
        <v>139</v>
      </c>
      <c r="B146" s="387" t="s">
        <v>272</v>
      </c>
      <c r="C146" s="350">
        <f t="shared" si="9"/>
        <v>33.803000000000004</v>
      </c>
      <c r="D146" s="351">
        <f t="shared" si="9"/>
        <v>31.291</v>
      </c>
      <c r="E146" s="388">
        <v>23.059000000000001</v>
      </c>
      <c r="F146" s="351">
        <v>23.059000000000001</v>
      </c>
      <c r="G146" s="350">
        <f>10.976-0.784</f>
        <v>10.192</v>
      </c>
      <c r="H146" s="351">
        <v>8.2319999999999993</v>
      </c>
      <c r="I146" s="350"/>
      <c r="J146" s="351"/>
      <c r="K146" s="350">
        <v>0.55200000000000005</v>
      </c>
      <c r="L146" s="389"/>
      <c r="M146" s="350"/>
      <c r="N146" s="351"/>
    </row>
    <row r="147" spans="1:14" ht="15.75" x14ac:dyDescent="0.25">
      <c r="A147" s="47">
        <f t="shared" si="10"/>
        <v>140</v>
      </c>
      <c r="B147" s="387" t="s">
        <v>273</v>
      </c>
      <c r="C147" s="350">
        <f t="shared" si="9"/>
        <v>106.85799999999999</v>
      </c>
      <c r="D147" s="351">
        <f t="shared" si="9"/>
        <v>104.59384</v>
      </c>
      <c r="E147" s="388">
        <f>76.25+1.58-6</f>
        <v>71.83</v>
      </c>
      <c r="F147" s="351">
        <v>71.825839999999999</v>
      </c>
      <c r="G147" s="350">
        <f>31.86+2.868</f>
        <v>34.728000000000002</v>
      </c>
      <c r="H147" s="351">
        <v>32.768000000000001</v>
      </c>
      <c r="I147" s="350"/>
      <c r="J147" s="351"/>
      <c r="K147" s="350">
        <v>0.3</v>
      </c>
      <c r="L147" s="389"/>
      <c r="M147" s="350"/>
      <c r="N147" s="351"/>
    </row>
    <row r="148" spans="1:14" ht="16.5" thickBot="1" x14ac:dyDescent="0.3">
      <c r="A148" s="47">
        <f t="shared" si="10"/>
        <v>141</v>
      </c>
      <c r="B148" s="390" t="s">
        <v>274</v>
      </c>
      <c r="C148" s="361">
        <f t="shared" si="9"/>
        <v>626.51199999999994</v>
      </c>
      <c r="D148" s="362">
        <f t="shared" si="9"/>
        <v>617.42264999999998</v>
      </c>
      <c r="E148" s="396">
        <v>544.34</v>
      </c>
      <c r="F148" s="362">
        <v>539.76265999999998</v>
      </c>
      <c r="G148" s="361">
        <f>94.58-14.376</f>
        <v>80.203999999999994</v>
      </c>
      <c r="H148" s="362">
        <v>76.638000000000005</v>
      </c>
      <c r="I148" s="361"/>
      <c r="J148" s="362"/>
      <c r="K148" s="361">
        <v>1.968</v>
      </c>
      <c r="L148" s="397">
        <v>1.02199</v>
      </c>
      <c r="M148" s="361"/>
      <c r="N148" s="362"/>
    </row>
    <row r="149" spans="1:14" ht="16.5" thickBot="1" x14ac:dyDescent="0.3">
      <c r="A149" s="47">
        <f t="shared" si="10"/>
        <v>142</v>
      </c>
      <c r="B149" s="335" t="s">
        <v>275</v>
      </c>
      <c r="C149" s="318">
        <f t="shared" si="9"/>
        <v>37024.94111</v>
      </c>
      <c r="D149" s="319">
        <f>F149+H149+J149+L149+N149</f>
        <v>36467.949970000001</v>
      </c>
      <c r="E149" s="340">
        <f>E8+E10+E19+E20+E48+E57+E67+E72+E87+E92+E98+E119+SUM(E129:E148)</f>
        <v>21616.301189999998</v>
      </c>
      <c r="F149" s="339">
        <f>SUM(F129:F148)+F119+F98+F92+F87+F72+F57+F48+F20+F19+F10+F8+F67</f>
        <v>21359.894470000003</v>
      </c>
      <c r="G149" s="339">
        <f>G8+G10+G19+G20+G48+G57+G67+G72+G87+G92+G98+G119+SUM(G129:G148)</f>
        <v>13127.74676</v>
      </c>
      <c r="H149" s="319">
        <f>H8+H10+H19+H20+H48+H57+H67+H72+H87+H92+H98+H119+SUM(H129:H148)</f>
        <v>13032.3303</v>
      </c>
      <c r="I149" s="339"/>
      <c r="J149" s="319"/>
      <c r="K149" s="339">
        <f t="shared" ref="K149:N149" si="11">K8+K10+K19+K20+K48+K57+K67+K72+K87+K92+K98+K119+SUM(K129:K148)</f>
        <v>1103.4849999999997</v>
      </c>
      <c r="L149" s="338">
        <f t="shared" si="11"/>
        <v>906.02689999999996</v>
      </c>
      <c r="M149" s="339">
        <f t="shared" si="11"/>
        <v>1177.40816</v>
      </c>
      <c r="N149" s="319">
        <f t="shared" si="11"/>
        <v>1169.6983</v>
      </c>
    </row>
    <row r="150" spans="1:14" ht="15.75" x14ac:dyDescent="0.25">
      <c r="A150" s="47">
        <f t="shared" si="10"/>
        <v>143</v>
      </c>
      <c r="B150" s="398" t="s">
        <v>276</v>
      </c>
      <c r="C150" s="342">
        <f t="shared" si="9"/>
        <v>703.62200000000007</v>
      </c>
      <c r="D150" s="343">
        <f t="shared" si="9"/>
        <v>699.25674000000004</v>
      </c>
      <c r="E150" s="399">
        <f>422.711+12.669+2</f>
        <v>437.38</v>
      </c>
      <c r="F150" s="343">
        <v>436.66890999999998</v>
      </c>
      <c r="G150" s="342">
        <f>2.816+6.628+0.712</f>
        <v>10.155999999999999</v>
      </c>
      <c r="H150" s="343">
        <v>10.156000000000001</v>
      </c>
      <c r="I150" s="342">
        <f>213.352+9.234</f>
        <v>222.58600000000001</v>
      </c>
      <c r="J150" s="343">
        <v>222.58600000000001</v>
      </c>
      <c r="K150" s="342">
        <f>29+4.5</f>
        <v>33.5</v>
      </c>
      <c r="L150" s="400">
        <v>29.845829999999999</v>
      </c>
      <c r="M150" s="342"/>
      <c r="N150" s="343"/>
    </row>
    <row r="151" spans="1:14" ht="15.75" x14ac:dyDescent="0.25">
      <c r="A151" s="47">
        <f t="shared" si="10"/>
        <v>144</v>
      </c>
      <c r="B151" s="387" t="s">
        <v>277</v>
      </c>
      <c r="C151" s="350">
        <f t="shared" si="9"/>
        <v>1137.6000000000001</v>
      </c>
      <c r="D151" s="351">
        <f t="shared" si="9"/>
        <v>1133.9487899999999</v>
      </c>
      <c r="E151" s="388">
        <f>599.533+41.123+13.544+6.932</f>
        <v>661.13200000000006</v>
      </c>
      <c r="F151" s="351">
        <v>660.70232999999996</v>
      </c>
      <c r="G151" s="350">
        <f>3.056+3.534+0.979</f>
        <v>7.569</v>
      </c>
      <c r="H151" s="351">
        <v>7.569</v>
      </c>
      <c r="I151" s="350">
        <f>399.195+7.676</f>
        <v>406.87099999999998</v>
      </c>
      <c r="J151" s="351">
        <v>406.87099999999998</v>
      </c>
      <c r="K151" s="350">
        <f>55.028+7</f>
        <v>62.027999999999999</v>
      </c>
      <c r="L151" s="389">
        <v>58.806460000000001</v>
      </c>
      <c r="M151" s="350"/>
      <c r="N151" s="351"/>
    </row>
    <row r="152" spans="1:14" ht="15.75" x14ac:dyDescent="0.25">
      <c r="A152" s="47">
        <f t="shared" si="10"/>
        <v>145</v>
      </c>
      <c r="B152" s="387" t="s">
        <v>278</v>
      </c>
      <c r="C152" s="350">
        <f t="shared" si="9"/>
        <v>503.58200000000005</v>
      </c>
      <c r="D152" s="351">
        <f t="shared" si="9"/>
        <v>500.44470000000007</v>
      </c>
      <c r="E152" s="388">
        <f>307.492+0.639-5</f>
        <v>303.13100000000003</v>
      </c>
      <c r="F152" s="351">
        <v>303.10333000000003</v>
      </c>
      <c r="G152" s="350">
        <f>7.774+3.535+0.089</f>
        <v>11.398000000000001</v>
      </c>
      <c r="H152" s="351">
        <v>11.398</v>
      </c>
      <c r="I152" s="350">
        <f>167.816+4.717</f>
        <v>172.53300000000002</v>
      </c>
      <c r="J152" s="351">
        <v>172.53299999999999</v>
      </c>
      <c r="K152" s="350">
        <f>15.52+1</f>
        <v>16.52</v>
      </c>
      <c r="L152" s="389">
        <v>13.41037</v>
      </c>
      <c r="M152" s="350"/>
      <c r="N152" s="351"/>
    </row>
    <row r="153" spans="1:14" ht="15.75" x14ac:dyDescent="0.25">
      <c r="A153" s="47">
        <f t="shared" si="10"/>
        <v>146</v>
      </c>
      <c r="B153" s="387" t="s">
        <v>279</v>
      </c>
      <c r="C153" s="350">
        <f t="shared" si="9"/>
        <v>864.54632000000004</v>
      </c>
      <c r="D153" s="351">
        <f t="shared" si="9"/>
        <v>841.68078999999989</v>
      </c>
      <c r="E153" s="388">
        <f>455.21-12.394+15-5</f>
        <v>452.81599999999997</v>
      </c>
      <c r="F153" s="351">
        <v>436.90924999999999</v>
      </c>
      <c r="G153" s="350">
        <f>0.704+0.356</f>
        <v>1.06</v>
      </c>
      <c r="H153" s="351">
        <v>1.06</v>
      </c>
      <c r="I153" s="350">
        <f>345.285+15.904</f>
        <v>361.18900000000002</v>
      </c>
      <c r="J153" s="351">
        <v>361.18900000000002</v>
      </c>
      <c r="K153" s="350">
        <v>48</v>
      </c>
      <c r="L153" s="389">
        <v>41.041220000000003</v>
      </c>
      <c r="M153" s="350">
        <v>1.48132</v>
      </c>
      <c r="N153" s="351">
        <v>1.48132</v>
      </c>
    </row>
    <row r="154" spans="1:14" ht="15.75" x14ac:dyDescent="0.25">
      <c r="A154" s="47">
        <f t="shared" si="10"/>
        <v>147</v>
      </c>
      <c r="B154" s="401" t="s">
        <v>280</v>
      </c>
      <c r="C154" s="350">
        <f t="shared" si="9"/>
        <v>429.82400000000001</v>
      </c>
      <c r="D154" s="351">
        <f t="shared" si="9"/>
        <v>427.21874000000003</v>
      </c>
      <c r="E154" s="388">
        <v>217.37100000000001</v>
      </c>
      <c r="F154" s="351">
        <v>216.94386</v>
      </c>
      <c r="G154" s="350"/>
      <c r="H154" s="351"/>
      <c r="I154" s="350">
        <f>203.296-4.043</f>
        <v>199.25299999999999</v>
      </c>
      <c r="J154" s="351">
        <v>199.25299999999999</v>
      </c>
      <c r="K154" s="350">
        <v>13.2</v>
      </c>
      <c r="L154" s="389">
        <v>11.021879999999999</v>
      </c>
      <c r="M154" s="350"/>
      <c r="N154" s="351"/>
    </row>
    <row r="155" spans="1:14" ht="15.75" x14ac:dyDescent="0.25">
      <c r="A155" s="47">
        <f t="shared" si="10"/>
        <v>148</v>
      </c>
      <c r="B155" s="387" t="s">
        <v>281</v>
      </c>
      <c r="C155" s="350">
        <f t="shared" si="9"/>
        <v>1125.92992</v>
      </c>
      <c r="D155" s="351">
        <f t="shared" si="9"/>
        <v>1105.96398</v>
      </c>
      <c r="E155" s="388">
        <f>661.687-1.635-19-18.9</f>
        <v>622.15200000000004</v>
      </c>
      <c r="F155" s="351">
        <v>618.21157000000005</v>
      </c>
      <c r="G155" s="350"/>
      <c r="H155" s="351"/>
      <c r="I155" s="350">
        <f>423.622+2.997</f>
        <v>426.61900000000003</v>
      </c>
      <c r="J155" s="351">
        <v>426.61900000000003</v>
      </c>
      <c r="K155" s="350">
        <v>63.6</v>
      </c>
      <c r="L155" s="389">
        <v>47.574489999999997</v>
      </c>
      <c r="M155" s="350">
        <v>13.558920000000001</v>
      </c>
      <c r="N155" s="351">
        <v>13.558920000000001</v>
      </c>
    </row>
    <row r="156" spans="1:14" ht="15.75" x14ac:dyDescent="0.25">
      <c r="A156" s="47">
        <f t="shared" si="10"/>
        <v>149</v>
      </c>
      <c r="B156" s="387" t="s">
        <v>282</v>
      </c>
      <c r="C156" s="350">
        <f t="shared" si="9"/>
        <v>1265.3561399999999</v>
      </c>
      <c r="D156" s="351">
        <f t="shared" si="9"/>
        <v>1263.9365299999999</v>
      </c>
      <c r="E156" s="388">
        <f>322.269-0.978+0.5+9.5</f>
        <v>331.291</v>
      </c>
      <c r="F156" s="351">
        <v>330.06130999999999</v>
      </c>
      <c r="G156" s="350"/>
      <c r="H156" s="351"/>
      <c r="I156" s="350">
        <f>865.056+0.724+19.37</f>
        <v>885.15000000000009</v>
      </c>
      <c r="J156" s="351">
        <v>885.15</v>
      </c>
      <c r="K156" s="350">
        <f>15.3+6.1+2.2</f>
        <v>23.599999999999998</v>
      </c>
      <c r="L156" s="389">
        <v>23.410080000000001</v>
      </c>
      <c r="M156" s="350">
        <v>25.31514</v>
      </c>
      <c r="N156" s="351">
        <v>25.31514</v>
      </c>
    </row>
    <row r="157" spans="1:14" ht="31.5" x14ac:dyDescent="0.25">
      <c r="A157" s="47">
        <f t="shared" si="10"/>
        <v>150</v>
      </c>
      <c r="B157" s="402" t="s">
        <v>283</v>
      </c>
      <c r="C157" s="350">
        <f t="shared" si="9"/>
        <v>164.94800000000001</v>
      </c>
      <c r="D157" s="351">
        <f t="shared" si="9"/>
        <v>163.56402</v>
      </c>
      <c r="E157" s="388">
        <f>67.627+0.462+0.643-6.2</f>
        <v>62.531999999999996</v>
      </c>
      <c r="F157" s="351">
        <v>62.531999999999996</v>
      </c>
      <c r="G157" s="350">
        <v>1.7669999999999999</v>
      </c>
      <c r="H157" s="351">
        <v>1.7669999999999999</v>
      </c>
      <c r="I157" s="350">
        <f>88.461+3.788</f>
        <v>92.248999999999995</v>
      </c>
      <c r="J157" s="351">
        <v>92.248999999999995</v>
      </c>
      <c r="K157" s="350">
        <f>5.4+3</f>
        <v>8.4</v>
      </c>
      <c r="L157" s="389">
        <v>7.0160200000000001</v>
      </c>
      <c r="M157" s="350"/>
      <c r="N157" s="351"/>
    </row>
    <row r="158" spans="1:14" ht="15.75" x14ac:dyDescent="0.25">
      <c r="A158" s="47">
        <f t="shared" si="10"/>
        <v>151</v>
      </c>
      <c r="B158" s="387" t="s">
        <v>284</v>
      </c>
      <c r="C158" s="350">
        <f t="shared" si="9"/>
        <v>2430.1123200000002</v>
      </c>
      <c r="D158" s="351">
        <f t="shared" si="9"/>
        <v>2425.2173999999995</v>
      </c>
      <c r="E158" s="388">
        <f>833.715+5.647+35+32.64</f>
        <v>907.00200000000007</v>
      </c>
      <c r="F158" s="351">
        <v>906.98476000000005</v>
      </c>
      <c r="G158" s="350"/>
      <c r="H158" s="351"/>
      <c r="I158" s="350">
        <f>1389.824+3.601+16.912</f>
        <v>1410.3370000000002</v>
      </c>
      <c r="J158" s="351">
        <v>1410.337</v>
      </c>
      <c r="K158" s="350">
        <f>74+5</f>
        <v>79</v>
      </c>
      <c r="L158" s="389">
        <v>74.122320000000002</v>
      </c>
      <c r="M158" s="350">
        <v>33.773319999999998</v>
      </c>
      <c r="N158" s="351">
        <v>33.773319999999998</v>
      </c>
    </row>
    <row r="159" spans="1:14" ht="31.5" x14ac:dyDescent="0.25">
      <c r="A159" s="47">
        <f t="shared" si="10"/>
        <v>152</v>
      </c>
      <c r="B159" s="394" t="s">
        <v>285</v>
      </c>
      <c r="C159" s="350">
        <f t="shared" si="9"/>
        <v>271.06799999999998</v>
      </c>
      <c r="D159" s="351">
        <f t="shared" si="9"/>
        <v>271.06800000000004</v>
      </c>
      <c r="E159" s="388">
        <v>14.182</v>
      </c>
      <c r="F159" s="351">
        <v>14.182</v>
      </c>
      <c r="G159" s="350"/>
      <c r="H159" s="351"/>
      <c r="I159" s="350">
        <f>262.171-5.285</f>
        <v>256.88599999999997</v>
      </c>
      <c r="J159" s="351">
        <v>256.88600000000002</v>
      </c>
      <c r="K159" s="350"/>
      <c r="L159" s="389"/>
      <c r="M159" s="350"/>
      <c r="N159" s="351"/>
    </row>
    <row r="160" spans="1:14" ht="47.25" x14ac:dyDescent="0.25">
      <c r="A160" s="47">
        <f t="shared" si="10"/>
        <v>153</v>
      </c>
      <c r="B160" s="394" t="s">
        <v>286</v>
      </c>
      <c r="C160" s="350">
        <f t="shared" si="9"/>
        <v>16.149999999999999</v>
      </c>
      <c r="D160" s="351">
        <f t="shared" si="9"/>
        <v>16.149999999999999</v>
      </c>
      <c r="E160" s="388"/>
      <c r="F160" s="351"/>
      <c r="G160" s="350">
        <v>0.8</v>
      </c>
      <c r="H160" s="351">
        <v>0.8</v>
      </c>
      <c r="I160" s="350">
        <f>14.812+0.538</f>
        <v>15.35</v>
      </c>
      <c r="J160" s="351">
        <v>15.35</v>
      </c>
      <c r="K160" s="350"/>
      <c r="L160" s="389"/>
      <c r="M160" s="350"/>
      <c r="N160" s="351"/>
    </row>
    <row r="161" spans="1:14" ht="15.75" x14ac:dyDescent="0.25">
      <c r="A161" s="47">
        <f t="shared" si="10"/>
        <v>154</v>
      </c>
      <c r="B161" s="387" t="s">
        <v>287</v>
      </c>
      <c r="C161" s="350">
        <f t="shared" si="9"/>
        <v>2090.2648999999997</v>
      </c>
      <c r="D161" s="351">
        <f t="shared" si="9"/>
        <v>2090.2648999999997</v>
      </c>
      <c r="E161" s="388">
        <f>605.136+2.582</f>
        <v>607.71799999999996</v>
      </c>
      <c r="F161" s="351">
        <v>607.71799999999996</v>
      </c>
      <c r="G161" s="350">
        <f>11.16+0.676</f>
        <v>11.836</v>
      </c>
      <c r="H161" s="351">
        <v>11.836</v>
      </c>
      <c r="I161" s="350">
        <f>1405.815+1.329+14.042</f>
        <v>1421.1859999999999</v>
      </c>
      <c r="J161" s="351">
        <v>1421.1859999999999</v>
      </c>
      <c r="K161" s="350">
        <f>29+10+4</f>
        <v>43</v>
      </c>
      <c r="L161" s="389">
        <v>43</v>
      </c>
      <c r="M161" s="350">
        <v>6.5248999999999997</v>
      </c>
      <c r="N161" s="351">
        <v>6.5248999999999997</v>
      </c>
    </row>
    <row r="162" spans="1:14" ht="15.75" x14ac:dyDescent="0.25">
      <c r="A162" s="47">
        <f t="shared" si="10"/>
        <v>155</v>
      </c>
      <c r="B162" s="387" t="s">
        <v>288</v>
      </c>
      <c r="C162" s="350">
        <f t="shared" si="9"/>
        <v>1231.1813699999998</v>
      </c>
      <c r="D162" s="351">
        <f t="shared" si="9"/>
        <v>1225.98405</v>
      </c>
      <c r="E162" s="388">
        <f>481.311+3.114</f>
        <v>484.42499999999995</v>
      </c>
      <c r="F162" s="351">
        <v>484.42500000000001</v>
      </c>
      <c r="G162" s="350">
        <v>2.48</v>
      </c>
      <c r="H162" s="351">
        <v>1.1622699999999999</v>
      </c>
      <c r="I162" s="350">
        <f>697.191+0.477+13.337</f>
        <v>711.005</v>
      </c>
      <c r="J162" s="351">
        <v>711.005</v>
      </c>
      <c r="K162" s="350">
        <f>20+4+5</f>
        <v>29</v>
      </c>
      <c r="L162" s="389">
        <v>25.12041</v>
      </c>
      <c r="M162" s="350">
        <v>4.2713700000000001</v>
      </c>
      <c r="N162" s="351">
        <v>4.2713700000000001</v>
      </c>
    </row>
    <row r="163" spans="1:14" ht="15.75" x14ac:dyDescent="0.25">
      <c r="A163" s="47">
        <f t="shared" si="10"/>
        <v>156</v>
      </c>
      <c r="B163" s="387" t="s">
        <v>289</v>
      </c>
      <c r="C163" s="350">
        <f t="shared" si="9"/>
        <v>79.069000000000003</v>
      </c>
      <c r="D163" s="351">
        <f t="shared" si="9"/>
        <v>78.100290000000001</v>
      </c>
      <c r="E163" s="388">
        <v>69.569000000000003</v>
      </c>
      <c r="F163" s="351">
        <v>69.569000000000003</v>
      </c>
      <c r="G163" s="350"/>
      <c r="H163" s="351"/>
      <c r="I163" s="350"/>
      <c r="J163" s="351"/>
      <c r="K163" s="350">
        <f>6+2.5+1</f>
        <v>9.5</v>
      </c>
      <c r="L163" s="389">
        <v>8.5312900000000003</v>
      </c>
      <c r="M163" s="350"/>
      <c r="N163" s="351"/>
    </row>
    <row r="164" spans="1:14" ht="15.75" x14ac:dyDescent="0.25">
      <c r="A164" s="47">
        <f t="shared" si="10"/>
        <v>157</v>
      </c>
      <c r="B164" s="387" t="s">
        <v>290</v>
      </c>
      <c r="C164" s="350">
        <f t="shared" si="9"/>
        <v>1270.1576799999998</v>
      </c>
      <c r="D164" s="351">
        <f t="shared" si="9"/>
        <v>1269.0918999999999</v>
      </c>
      <c r="E164" s="388">
        <f>544.027+30.01444-11.663+4.228+1.5-18.1</f>
        <v>550.00644</v>
      </c>
      <c r="F164" s="351">
        <v>550.00644</v>
      </c>
      <c r="G164" s="350">
        <v>1.24</v>
      </c>
      <c r="H164" s="351">
        <v>1.24</v>
      </c>
      <c r="I164" s="350">
        <f>661.216+0.867+32.00283</f>
        <v>694.08582999999999</v>
      </c>
      <c r="J164" s="351">
        <v>694.08582999999999</v>
      </c>
      <c r="K164" s="350">
        <f>13.4+5.9</f>
        <v>19.3</v>
      </c>
      <c r="L164" s="389">
        <v>18.234220000000001</v>
      </c>
      <c r="M164" s="350">
        <v>5.5254099999999999</v>
      </c>
      <c r="N164" s="351">
        <v>5.5254099999999999</v>
      </c>
    </row>
    <row r="165" spans="1:14" ht="15.75" x14ac:dyDescent="0.25">
      <c r="A165" s="47">
        <f t="shared" si="10"/>
        <v>158</v>
      </c>
      <c r="B165" s="403" t="s">
        <v>291</v>
      </c>
      <c r="C165" s="350">
        <f t="shared" si="9"/>
        <v>371.34973000000002</v>
      </c>
      <c r="D165" s="351">
        <f t="shared" si="9"/>
        <v>369.71589999999998</v>
      </c>
      <c r="E165" s="388">
        <f>270.067-81.91444</f>
        <v>188.15255999999999</v>
      </c>
      <c r="F165" s="351">
        <v>188.15255999999999</v>
      </c>
      <c r="G165" s="350">
        <v>6.3719999999999999</v>
      </c>
      <c r="H165" s="351">
        <v>6.3719999999999999</v>
      </c>
      <c r="I165" s="350">
        <f>258.126-85.90083</f>
        <v>172.22516999999999</v>
      </c>
      <c r="J165" s="351">
        <v>172.22516999999999</v>
      </c>
      <c r="K165" s="350">
        <v>4.5999999999999996</v>
      </c>
      <c r="L165" s="389">
        <v>2.96617</v>
      </c>
      <c r="M165" s="350"/>
      <c r="N165" s="351"/>
    </row>
    <row r="166" spans="1:14" ht="15.75" x14ac:dyDescent="0.25">
      <c r="A166" s="47">
        <f t="shared" si="10"/>
        <v>159</v>
      </c>
      <c r="B166" s="404" t="s">
        <v>292</v>
      </c>
      <c r="C166" s="350">
        <f t="shared" si="9"/>
        <v>323.67900000000003</v>
      </c>
      <c r="D166" s="351">
        <f t="shared" si="9"/>
        <v>318.32777000000004</v>
      </c>
      <c r="E166" s="388">
        <f>208.436-3.511-4</f>
        <v>200.92500000000001</v>
      </c>
      <c r="F166" s="351">
        <v>200.92500000000001</v>
      </c>
      <c r="G166" s="350"/>
      <c r="H166" s="351"/>
      <c r="I166" s="350">
        <f>116.709-6.655</f>
        <v>110.054</v>
      </c>
      <c r="J166" s="351">
        <v>110.054</v>
      </c>
      <c r="K166" s="350">
        <v>12.7</v>
      </c>
      <c r="L166" s="389">
        <v>7.34877</v>
      </c>
      <c r="M166" s="350"/>
      <c r="N166" s="351"/>
    </row>
    <row r="167" spans="1:14" ht="15.75" x14ac:dyDescent="0.25">
      <c r="A167" s="47">
        <f t="shared" si="10"/>
        <v>160</v>
      </c>
      <c r="B167" s="387" t="s">
        <v>293</v>
      </c>
      <c r="C167" s="350">
        <f t="shared" si="9"/>
        <v>72.515000000000001</v>
      </c>
      <c r="D167" s="351">
        <f t="shared" si="9"/>
        <v>71.22178000000001</v>
      </c>
      <c r="E167" s="388">
        <v>68.215000000000003</v>
      </c>
      <c r="F167" s="351">
        <v>68.215000000000003</v>
      </c>
      <c r="G167" s="350"/>
      <c r="H167" s="351"/>
      <c r="I167" s="350"/>
      <c r="J167" s="351"/>
      <c r="K167" s="350">
        <f>2.2+2.1</f>
        <v>4.3000000000000007</v>
      </c>
      <c r="L167" s="389">
        <v>3.00678</v>
      </c>
      <c r="M167" s="350"/>
      <c r="N167" s="351"/>
    </row>
    <row r="168" spans="1:14" ht="15.75" x14ac:dyDescent="0.25">
      <c r="A168" s="47">
        <f t="shared" si="10"/>
        <v>161</v>
      </c>
      <c r="B168" s="387" t="s">
        <v>294</v>
      </c>
      <c r="C168" s="350">
        <f t="shared" si="9"/>
        <v>1011.93753</v>
      </c>
      <c r="D168" s="351">
        <f t="shared" si="9"/>
        <v>1009.10428</v>
      </c>
      <c r="E168" s="388">
        <f>345.54+2</f>
        <v>347.54</v>
      </c>
      <c r="F168" s="351">
        <v>347.27485000000001</v>
      </c>
      <c r="G168" s="350"/>
      <c r="H168" s="351"/>
      <c r="I168" s="350">
        <f>613.893+0.835+17.479</f>
        <v>632.20700000000011</v>
      </c>
      <c r="J168" s="351">
        <v>632.20699999999999</v>
      </c>
      <c r="K168" s="350">
        <f>18+3+1.5</f>
        <v>22.5</v>
      </c>
      <c r="L168" s="389">
        <v>19.931899999999999</v>
      </c>
      <c r="M168" s="350">
        <v>9.6905300000000008</v>
      </c>
      <c r="N168" s="351">
        <v>9.6905300000000008</v>
      </c>
    </row>
    <row r="169" spans="1:14" ht="15.75" x14ac:dyDescent="0.25">
      <c r="A169" s="47">
        <f t="shared" si="10"/>
        <v>162</v>
      </c>
      <c r="B169" s="401" t="s">
        <v>295</v>
      </c>
      <c r="C169" s="350">
        <f t="shared" si="9"/>
        <v>353.17700000000002</v>
      </c>
      <c r="D169" s="351">
        <f t="shared" si="9"/>
        <v>351.54829000000001</v>
      </c>
      <c r="E169" s="388">
        <f>205.738-9.447-2</f>
        <v>194.291</v>
      </c>
      <c r="F169" s="351">
        <v>194.17959999999999</v>
      </c>
      <c r="G169" s="350">
        <f>9.182+1.767+1.068</f>
        <v>12.016999999999999</v>
      </c>
      <c r="H169" s="351">
        <v>12.016999999999999</v>
      </c>
      <c r="I169" s="350">
        <f>127.622+5.827</f>
        <v>133.44900000000001</v>
      </c>
      <c r="J169" s="351">
        <v>133.44900000000001</v>
      </c>
      <c r="K169" s="350">
        <f>12.82+0.6</f>
        <v>13.42</v>
      </c>
      <c r="L169" s="389">
        <v>11.90269</v>
      </c>
      <c r="M169" s="350"/>
      <c r="N169" s="351"/>
    </row>
    <row r="170" spans="1:14" ht="15.75" x14ac:dyDescent="0.25">
      <c r="A170" s="47">
        <f t="shared" si="10"/>
        <v>163</v>
      </c>
      <c r="B170" s="387" t="s">
        <v>296</v>
      </c>
      <c r="C170" s="350">
        <f t="shared" si="9"/>
        <v>57.996000000000002</v>
      </c>
      <c r="D170" s="351">
        <f t="shared" si="9"/>
        <v>56.445309999999999</v>
      </c>
      <c r="E170" s="388">
        <f>58.854-4.058</f>
        <v>54.795999999999999</v>
      </c>
      <c r="F170" s="351">
        <v>54.795999999999999</v>
      </c>
      <c r="G170" s="350"/>
      <c r="H170" s="351"/>
      <c r="I170" s="350"/>
      <c r="J170" s="351"/>
      <c r="K170" s="350">
        <f>2.6+0.6</f>
        <v>3.2</v>
      </c>
      <c r="L170" s="389">
        <v>1.6493100000000001</v>
      </c>
      <c r="M170" s="350"/>
      <c r="N170" s="351"/>
    </row>
    <row r="171" spans="1:14" ht="15.75" x14ac:dyDescent="0.25">
      <c r="A171" s="47">
        <f t="shared" si="10"/>
        <v>164</v>
      </c>
      <c r="B171" s="387" t="s">
        <v>297</v>
      </c>
      <c r="C171" s="350">
        <f t="shared" si="9"/>
        <v>1274.1773599999997</v>
      </c>
      <c r="D171" s="351">
        <f t="shared" si="9"/>
        <v>1270.8534199999999</v>
      </c>
      <c r="E171" s="388">
        <f>621.631-24.859-35-18.35</f>
        <v>543.42199999999991</v>
      </c>
      <c r="F171" s="351">
        <v>543.11798999999996</v>
      </c>
      <c r="G171" s="350">
        <v>0.35599999999999998</v>
      </c>
      <c r="H171" s="351">
        <v>0.35599999999999998</v>
      </c>
      <c r="I171" s="350">
        <f>695.384+0.615+10.579</f>
        <v>706.57799999999997</v>
      </c>
      <c r="J171" s="351">
        <v>706.57799999999997</v>
      </c>
      <c r="K171" s="350">
        <f>19</f>
        <v>19</v>
      </c>
      <c r="L171" s="389">
        <v>16.190169999999998</v>
      </c>
      <c r="M171" s="350">
        <v>4.8213600000000003</v>
      </c>
      <c r="N171" s="351">
        <v>4.6112599999999997</v>
      </c>
    </row>
    <row r="172" spans="1:14" ht="15.75" x14ac:dyDescent="0.25">
      <c r="A172" s="47">
        <f t="shared" si="10"/>
        <v>165</v>
      </c>
      <c r="B172" s="387" t="s">
        <v>298</v>
      </c>
      <c r="C172" s="350">
        <f t="shared" si="9"/>
        <v>553.72519999999997</v>
      </c>
      <c r="D172" s="351">
        <f t="shared" si="9"/>
        <v>531.53590999999994</v>
      </c>
      <c r="E172" s="388">
        <f>120.227-5.841+7.5-8.596</f>
        <v>113.29</v>
      </c>
      <c r="F172" s="351">
        <v>94.178939999999997</v>
      </c>
      <c r="G172" s="350">
        <v>134.9</v>
      </c>
      <c r="H172" s="351">
        <v>134.9</v>
      </c>
      <c r="I172" s="350">
        <f>302.347+0.244-4.318</f>
        <v>298.27300000000002</v>
      </c>
      <c r="J172" s="351">
        <v>298.27300000000002</v>
      </c>
      <c r="K172" s="350">
        <v>7.1</v>
      </c>
      <c r="L172" s="389">
        <v>4.0217700000000001</v>
      </c>
      <c r="M172" s="350">
        <v>0.16220000000000001</v>
      </c>
      <c r="N172" s="351">
        <v>0.16220000000000001</v>
      </c>
    </row>
    <row r="173" spans="1:14" ht="15.75" x14ac:dyDescent="0.25">
      <c r="A173" s="47">
        <f t="shared" si="10"/>
        <v>166</v>
      </c>
      <c r="B173" s="387" t="s">
        <v>299</v>
      </c>
      <c r="C173" s="350">
        <f t="shared" si="9"/>
        <v>669.18099999999993</v>
      </c>
      <c r="D173" s="351">
        <f t="shared" si="9"/>
        <v>660.45496000000003</v>
      </c>
      <c r="E173" s="388">
        <f>598.164+1.35+2.367</f>
        <v>601.88099999999997</v>
      </c>
      <c r="F173" s="351">
        <v>601.88021000000003</v>
      </c>
      <c r="G173" s="350"/>
      <c r="H173" s="351"/>
      <c r="I173" s="350">
        <v>32</v>
      </c>
      <c r="J173" s="351">
        <v>32</v>
      </c>
      <c r="K173" s="350">
        <f>33+2.3</f>
        <v>35.299999999999997</v>
      </c>
      <c r="L173" s="389">
        <v>26.574750000000002</v>
      </c>
      <c r="M173" s="350"/>
      <c r="N173" s="351"/>
    </row>
    <row r="174" spans="1:14" ht="15.75" x14ac:dyDescent="0.25">
      <c r="A174" s="47">
        <f t="shared" si="10"/>
        <v>167</v>
      </c>
      <c r="B174" s="387" t="s">
        <v>300</v>
      </c>
      <c r="C174" s="350">
        <f t="shared" si="9"/>
        <v>226.84299999999999</v>
      </c>
      <c r="D174" s="351">
        <f t="shared" si="9"/>
        <v>224.97604000000001</v>
      </c>
      <c r="E174" s="388">
        <f>200.506-10.145+1.332</f>
        <v>191.69299999999998</v>
      </c>
      <c r="F174" s="351">
        <v>191.69238000000001</v>
      </c>
      <c r="G174" s="350"/>
      <c r="H174" s="351"/>
      <c r="I174" s="350">
        <v>18</v>
      </c>
      <c r="J174" s="351">
        <v>18</v>
      </c>
      <c r="K174" s="350">
        <f>15+2.15</f>
        <v>17.149999999999999</v>
      </c>
      <c r="L174" s="389">
        <v>15.283659999999999</v>
      </c>
      <c r="M174" s="350"/>
      <c r="N174" s="351"/>
    </row>
    <row r="175" spans="1:14" ht="15.75" x14ac:dyDescent="0.25">
      <c r="A175" s="47">
        <f t="shared" si="10"/>
        <v>168</v>
      </c>
      <c r="B175" s="401" t="s">
        <v>301</v>
      </c>
      <c r="C175" s="350">
        <f t="shared" si="9"/>
        <v>332.95456000000001</v>
      </c>
      <c r="D175" s="351">
        <f t="shared" si="9"/>
        <v>325.91318999999999</v>
      </c>
      <c r="E175" s="388">
        <f>302.548+0.933</f>
        <v>303.48099999999999</v>
      </c>
      <c r="F175" s="351">
        <v>298.77708999999999</v>
      </c>
      <c r="G175" s="350"/>
      <c r="H175" s="351"/>
      <c r="I175" s="350">
        <f>11.282+0.09</f>
        <v>11.372</v>
      </c>
      <c r="J175" s="351">
        <v>11.372</v>
      </c>
      <c r="K175" s="350">
        <v>14.3</v>
      </c>
      <c r="L175" s="389">
        <v>11.962540000000001</v>
      </c>
      <c r="M175" s="350">
        <v>3.8015599999999998</v>
      </c>
      <c r="N175" s="351">
        <v>3.8015599999999998</v>
      </c>
    </row>
    <row r="176" spans="1:14" ht="15.75" x14ac:dyDescent="0.25">
      <c r="A176" s="47">
        <f t="shared" si="10"/>
        <v>169</v>
      </c>
      <c r="B176" s="387" t="s">
        <v>302</v>
      </c>
      <c r="C176" s="350">
        <f t="shared" si="9"/>
        <v>342.44722999999999</v>
      </c>
      <c r="D176" s="351">
        <f t="shared" si="9"/>
        <v>332.07745</v>
      </c>
      <c r="E176" s="388">
        <v>179.02877000000001</v>
      </c>
      <c r="F176" s="351">
        <v>178.58622</v>
      </c>
      <c r="G176" s="350"/>
      <c r="H176" s="351"/>
      <c r="I176" s="350">
        <v>45.823160000000001</v>
      </c>
      <c r="J176" s="351">
        <v>45.823160000000001</v>
      </c>
      <c r="K176" s="350">
        <v>23.608000000000001</v>
      </c>
      <c r="L176" s="389">
        <v>14.563280000000001</v>
      </c>
      <c r="M176" s="350">
        <v>93.987300000000005</v>
      </c>
      <c r="N176" s="351">
        <v>93.104789999999994</v>
      </c>
    </row>
    <row r="177" spans="1:14" ht="31.5" x14ac:dyDescent="0.25">
      <c r="A177" s="47">
        <f t="shared" si="10"/>
        <v>170</v>
      </c>
      <c r="B177" s="394" t="s">
        <v>303</v>
      </c>
      <c r="C177" s="350">
        <f t="shared" si="9"/>
        <v>0</v>
      </c>
      <c r="D177" s="351">
        <f t="shared" si="9"/>
        <v>0</v>
      </c>
      <c r="E177" s="388">
        <v>0</v>
      </c>
      <c r="F177" s="351"/>
      <c r="G177" s="350"/>
      <c r="H177" s="351"/>
      <c r="I177" s="350">
        <v>0</v>
      </c>
      <c r="J177" s="351"/>
      <c r="K177" s="350">
        <v>0</v>
      </c>
      <c r="L177" s="389"/>
      <c r="M177" s="350"/>
      <c r="N177" s="351"/>
    </row>
    <row r="178" spans="1:14" ht="15.75" x14ac:dyDescent="0.25">
      <c r="A178" s="47">
        <f t="shared" si="10"/>
        <v>171</v>
      </c>
      <c r="B178" s="387" t="s">
        <v>304</v>
      </c>
      <c r="C178" s="350">
        <f t="shared" si="9"/>
        <v>113.13807</v>
      </c>
      <c r="D178" s="351">
        <f t="shared" si="9"/>
        <v>113.13807</v>
      </c>
      <c r="E178" s="388">
        <v>41.150230000000001</v>
      </c>
      <c r="F178" s="351">
        <v>41.150230000000001</v>
      </c>
      <c r="G178" s="350"/>
      <c r="H178" s="351"/>
      <c r="I178" s="350">
        <v>71.595839999999995</v>
      </c>
      <c r="J178" s="351">
        <v>71.595839999999995</v>
      </c>
      <c r="K178" s="350">
        <v>0.39200000000000002</v>
      </c>
      <c r="L178" s="389">
        <v>0.39200000000000002</v>
      </c>
      <c r="M178" s="350"/>
      <c r="N178" s="351"/>
    </row>
    <row r="179" spans="1:14" ht="15.75" x14ac:dyDescent="0.25">
      <c r="A179" s="47">
        <f t="shared" si="10"/>
        <v>172</v>
      </c>
      <c r="B179" s="390" t="s">
        <v>305</v>
      </c>
      <c r="C179" s="350">
        <f t="shared" si="9"/>
        <v>562.00300000000004</v>
      </c>
      <c r="D179" s="351">
        <f t="shared" si="9"/>
        <v>552.50747000000001</v>
      </c>
      <c r="E179" s="396">
        <f>428.724+2-15.7+0.723</f>
        <v>415.74700000000001</v>
      </c>
      <c r="F179" s="362">
        <v>414.04730000000001</v>
      </c>
      <c r="G179" s="350">
        <f>7.774+3.535</f>
        <v>11.309000000000001</v>
      </c>
      <c r="H179" s="351">
        <v>11.308999999999999</v>
      </c>
      <c r="I179" s="350">
        <f>115.303-4.576</f>
        <v>110.727</v>
      </c>
      <c r="J179" s="351">
        <v>110.727</v>
      </c>
      <c r="K179" s="350">
        <v>24.22</v>
      </c>
      <c r="L179" s="389">
        <v>16.42417</v>
      </c>
      <c r="M179" s="350"/>
      <c r="N179" s="351"/>
    </row>
    <row r="180" spans="1:14" ht="16.5" thickBot="1" x14ac:dyDescent="0.3">
      <c r="A180" s="47">
        <f t="shared" si="10"/>
        <v>173</v>
      </c>
      <c r="B180" s="390" t="s">
        <v>306</v>
      </c>
      <c r="C180" s="361">
        <f t="shared" si="9"/>
        <v>403.81600000000003</v>
      </c>
      <c r="D180" s="362">
        <f t="shared" si="9"/>
        <v>403.55500999999998</v>
      </c>
      <c r="E180" s="396">
        <f>332.212+2.092-18.4</f>
        <v>315.904</v>
      </c>
      <c r="F180" s="362">
        <v>315.64301</v>
      </c>
      <c r="G180" s="361">
        <f>8.201+3.535+2.609+0.356+1.215</f>
        <v>15.916</v>
      </c>
      <c r="H180" s="362">
        <v>15.916</v>
      </c>
      <c r="I180" s="361">
        <f>65.303+0.183-0.99</f>
        <v>64.496000000000009</v>
      </c>
      <c r="J180" s="362">
        <v>64.495999999999995</v>
      </c>
      <c r="K180" s="405">
        <f>6+1.5</f>
        <v>7.5</v>
      </c>
      <c r="L180" s="397">
        <v>7.5</v>
      </c>
      <c r="M180" s="361"/>
      <c r="N180" s="362"/>
    </row>
    <row r="181" spans="1:14" ht="16.5" thickBot="1" x14ac:dyDescent="0.3">
      <c r="A181" s="53">
        <f t="shared" si="10"/>
        <v>174</v>
      </c>
      <c r="B181" s="406" t="s">
        <v>307</v>
      </c>
      <c r="C181" s="318">
        <f>E181+G181+I181+K181+M181</f>
        <v>20252.351329999998</v>
      </c>
      <c r="D181" s="319">
        <f>F181+H181+J181+L181+N181</f>
        <v>20103.265679999997</v>
      </c>
      <c r="E181" s="407">
        <f>SUM(E150:E180)</f>
        <v>9480.2240000000002</v>
      </c>
      <c r="F181" s="408">
        <f>SUM(F150:F180)</f>
        <v>9430.6341400000001</v>
      </c>
      <c r="G181" s="408">
        <f t="shared" ref="G181:N181" si="12">SUM(G150:G180)</f>
        <v>229.17599999999999</v>
      </c>
      <c r="H181" s="408">
        <f>SUM(H150:H180)</f>
        <v>227.85826999999998</v>
      </c>
      <c r="I181" s="408">
        <f t="shared" si="12"/>
        <v>9682.0999999999985</v>
      </c>
      <c r="J181" s="408">
        <f t="shared" si="12"/>
        <v>9682.0999999999985</v>
      </c>
      <c r="K181" s="408">
        <f t="shared" si="12"/>
        <v>657.93799999999987</v>
      </c>
      <c r="L181" s="409">
        <f t="shared" si="12"/>
        <v>560.85255000000006</v>
      </c>
      <c r="M181" s="409">
        <f t="shared" si="12"/>
        <v>202.91332999999997</v>
      </c>
      <c r="N181" s="410">
        <f t="shared" si="12"/>
        <v>201.82071999999999</v>
      </c>
    </row>
    <row r="182" spans="1:14" ht="16.5" thickBot="1" x14ac:dyDescent="0.3">
      <c r="A182" s="54">
        <f t="shared" si="10"/>
        <v>175</v>
      </c>
      <c r="B182" s="335" t="s">
        <v>308</v>
      </c>
      <c r="C182" s="411">
        <f>+E182+G182+I182+K182+M182</f>
        <v>57277.292440000005</v>
      </c>
      <c r="D182" s="412">
        <f>F182+H182+J182+L182+N182</f>
        <v>56571.215649999998</v>
      </c>
      <c r="E182" s="336">
        <f>E149+E181</f>
        <v>31096.52519</v>
      </c>
      <c r="F182" s="319">
        <f>F149+F181</f>
        <v>30790.528610000001</v>
      </c>
      <c r="G182" s="318">
        <f>G149+G181</f>
        <v>13356.922759999999</v>
      </c>
      <c r="H182" s="319">
        <f>H149+H181</f>
        <v>13260.18857</v>
      </c>
      <c r="I182" s="339">
        <f>I181+I149</f>
        <v>9682.0999999999985</v>
      </c>
      <c r="J182" s="339">
        <f>J181+J149</f>
        <v>9682.0999999999985</v>
      </c>
      <c r="K182" s="339">
        <f>K149+K181</f>
        <v>1761.4229999999995</v>
      </c>
      <c r="L182" s="338">
        <f>L149+L181</f>
        <v>1466.8794499999999</v>
      </c>
      <c r="M182" s="339">
        <f t="shared" ref="M182:N182" si="13">M149+M181</f>
        <v>1380.3214899999998</v>
      </c>
      <c r="N182" s="376">
        <f t="shared" si="13"/>
        <v>1371.51902</v>
      </c>
    </row>
    <row r="183" spans="1:14" ht="15.75" x14ac:dyDescent="0.25">
      <c r="A183" s="55"/>
      <c r="B183" s="1" t="s">
        <v>405</v>
      </c>
      <c r="C183" s="149"/>
      <c r="D183" s="413"/>
      <c r="E183" s="149"/>
      <c r="F183" s="149"/>
      <c r="G183" s="149"/>
      <c r="H183" s="414"/>
      <c r="I183" s="149"/>
      <c r="J183" s="149"/>
      <c r="K183" s="149"/>
      <c r="L183" s="149"/>
      <c r="M183" s="149"/>
      <c r="N183" s="149"/>
    </row>
    <row r="184" spans="1:14" ht="15.75" x14ac:dyDescent="0.25">
      <c r="A184" s="56"/>
      <c r="B184" s="415" t="s">
        <v>406</v>
      </c>
      <c r="C184" s="413"/>
      <c r="D184" s="413"/>
      <c r="E184" s="413"/>
      <c r="F184" s="149"/>
      <c r="G184" s="149"/>
      <c r="H184" s="413"/>
      <c r="I184" s="149"/>
      <c r="J184" s="149"/>
      <c r="K184" s="149"/>
      <c r="L184" s="149"/>
      <c r="M184" s="149"/>
      <c r="N184" s="149"/>
    </row>
    <row r="185" spans="1:14" ht="15.75" x14ac:dyDescent="0.25">
      <c r="A185" s="56"/>
      <c r="B185" s="416" t="s">
        <v>407</v>
      </c>
      <c r="C185" s="149"/>
      <c r="D185" s="149"/>
      <c r="E185" s="149"/>
      <c r="F185" s="149"/>
      <c r="G185" s="149"/>
      <c r="H185" s="149"/>
      <c r="I185" s="413"/>
      <c r="J185" s="149"/>
      <c r="K185" s="149"/>
      <c r="L185" s="149"/>
      <c r="M185" s="149"/>
      <c r="N185" s="149"/>
    </row>
    <row r="186" spans="1:14" ht="15.75" x14ac:dyDescent="0.25">
      <c r="B186" s="1" t="s">
        <v>408</v>
      </c>
      <c r="C186" s="149"/>
      <c r="D186" s="149"/>
      <c r="E186" s="149"/>
      <c r="F186" s="149"/>
      <c r="G186" s="149"/>
      <c r="H186" s="413"/>
      <c r="I186" s="149"/>
      <c r="J186" s="149"/>
      <c r="K186" s="149"/>
      <c r="L186" s="149"/>
      <c r="M186" s="149"/>
      <c r="N186" s="149"/>
    </row>
    <row r="187" spans="1:14" ht="15.75" x14ac:dyDescent="0.25">
      <c r="B187" s="1" t="s">
        <v>409</v>
      </c>
      <c r="C187" s="149"/>
      <c r="D187" s="413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</row>
    <row r="188" spans="1:14" ht="15.75" x14ac:dyDescent="0.25">
      <c r="B188" s="310"/>
      <c r="C188" s="310"/>
      <c r="D188" s="310"/>
      <c r="E188" s="310"/>
      <c r="F188" s="310"/>
      <c r="G188" s="310"/>
      <c r="H188" s="310"/>
      <c r="I188" s="310"/>
      <c r="J188" s="310"/>
      <c r="K188" s="310"/>
      <c r="L188" s="310"/>
      <c r="M188" s="310"/>
      <c r="N188" s="310"/>
    </row>
  </sheetData>
  <mergeCells count="10">
    <mergeCell ref="A6:A7"/>
    <mergeCell ref="B6:B7"/>
    <mergeCell ref="C6:D6"/>
    <mergeCell ref="E6:F6"/>
    <mergeCell ref="G6:H6"/>
    <mergeCell ref="I6:J6"/>
    <mergeCell ref="K6:L6"/>
    <mergeCell ref="M6:N6"/>
    <mergeCell ref="B2:K2"/>
    <mergeCell ref="C3:F3"/>
  </mergeCells>
  <pageMargins left="0.25" right="0.25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B38B-2AAE-48F0-BF63-B9E19DD3AE4A}">
  <dimension ref="A3:Q247"/>
  <sheetViews>
    <sheetView topLeftCell="A200" zoomScale="85" zoomScaleNormal="85" workbookViewId="0">
      <selection activeCell="V210" sqref="V210"/>
    </sheetView>
  </sheetViews>
  <sheetFormatPr defaultRowHeight="15" x14ac:dyDescent="0.25"/>
  <cols>
    <col min="1" max="1" width="6" bestFit="1" customWidth="1"/>
    <col min="2" max="2" width="54" bestFit="1" customWidth="1"/>
    <col min="3" max="3" width="12.7109375" bestFit="1" customWidth="1"/>
    <col min="4" max="4" width="13.7109375" bestFit="1" customWidth="1"/>
    <col min="5" max="5" width="12.7109375" bestFit="1" customWidth="1"/>
    <col min="6" max="6" width="13.7109375" bestFit="1" customWidth="1"/>
    <col min="7" max="8" width="12.5703125" bestFit="1" customWidth="1"/>
    <col min="9" max="9" width="11.5703125" bestFit="1" customWidth="1"/>
    <col min="10" max="10" width="10.7109375" bestFit="1" customWidth="1"/>
    <col min="11" max="11" width="11.5703125" bestFit="1" customWidth="1"/>
    <col min="12" max="12" width="10.5703125" customWidth="1"/>
    <col min="13" max="13" width="11.5703125" bestFit="1" customWidth="1"/>
    <col min="14" max="14" width="10.5703125" bestFit="1" customWidth="1"/>
    <col min="15" max="16" width="11.5703125" bestFit="1" customWidth="1"/>
    <col min="17" max="17" width="12.5703125" bestFit="1" customWidth="1"/>
  </cols>
  <sheetData>
    <row r="3" spans="1:16" ht="15.75" x14ac:dyDescent="0.25">
      <c r="B3" s="472" t="s">
        <v>363</v>
      </c>
      <c r="C3" s="473"/>
      <c r="D3" s="473"/>
      <c r="E3" s="473"/>
      <c r="F3" s="473"/>
      <c r="G3" s="473"/>
      <c r="H3" s="473"/>
      <c r="I3" s="483"/>
      <c r="J3" s="483"/>
      <c r="K3" s="483"/>
    </row>
    <row r="5" spans="1:16" ht="15.75" thickBot="1" x14ac:dyDescent="0.3">
      <c r="K5" t="s">
        <v>410</v>
      </c>
    </row>
    <row r="6" spans="1:16" x14ac:dyDescent="0.25">
      <c r="A6" s="484" t="s">
        <v>311</v>
      </c>
      <c r="B6" s="486" t="s">
        <v>135</v>
      </c>
      <c r="C6" s="480" t="s">
        <v>136</v>
      </c>
      <c r="D6" s="488"/>
      <c r="E6" s="480" t="s">
        <v>137</v>
      </c>
      <c r="F6" s="488"/>
      <c r="G6" s="480" t="s">
        <v>138</v>
      </c>
      <c r="H6" s="488"/>
      <c r="I6" s="480" t="s">
        <v>139</v>
      </c>
      <c r="J6" s="488"/>
      <c r="K6" s="480" t="s">
        <v>140</v>
      </c>
      <c r="L6" s="481"/>
      <c r="M6" s="480" t="s">
        <v>141</v>
      </c>
      <c r="N6" s="482"/>
    </row>
    <row r="7" spans="1:16" ht="26.25" thickBot="1" x14ac:dyDescent="0.3">
      <c r="A7" s="485"/>
      <c r="B7" s="487"/>
      <c r="C7" s="42" t="s">
        <v>310</v>
      </c>
      <c r="D7" s="43" t="s">
        <v>309</v>
      </c>
      <c r="E7" s="42" t="s">
        <v>310</v>
      </c>
      <c r="F7" s="43" t="s">
        <v>309</v>
      </c>
      <c r="G7" s="42" t="s">
        <v>310</v>
      </c>
      <c r="H7" s="43" t="s">
        <v>309</v>
      </c>
      <c r="I7" s="42" t="s">
        <v>310</v>
      </c>
      <c r="J7" s="43" t="s">
        <v>309</v>
      </c>
      <c r="K7" s="42" t="s">
        <v>310</v>
      </c>
      <c r="L7" s="43" t="s">
        <v>309</v>
      </c>
      <c r="M7" s="42" t="s">
        <v>310</v>
      </c>
      <c r="N7" s="43" t="s">
        <v>309</v>
      </c>
    </row>
    <row r="8" spans="1:16" ht="33" customHeight="1" thickBot="1" x14ac:dyDescent="0.3">
      <c r="A8" s="51">
        <v>1</v>
      </c>
      <c r="B8" s="57" t="s">
        <v>312</v>
      </c>
      <c r="C8" s="58">
        <f>E8+G8+I8+K8+M8</f>
        <v>8680.5764899999995</v>
      </c>
      <c r="D8" s="168">
        <f>F8+H8+J8+L8+N8</f>
        <v>8632.1705999999995</v>
      </c>
      <c r="E8" s="59">
        <f>E9+E11+E18+E21+E25+E29+E34+SUM(E39:E49)+E32</f>
        <v>5728.26397</v>
      </c>
      <c r="F8" s="59">
        <f>F9+F11+F18+F21+F25+F29+F34+SUM(F39:F49)+F32</f>
        <v>5722.71101</v>
      </c>
      <c r="G8" s="59">
        <f>G11+G19+SUM(G39:G49)+G21</f>
        <v>1843.7684199999999</v>
      </c>
      <c r="H8" s="290">
        <f>H11+H21+H19+SUM(H39:H49)</f>
        <v>1841.1400199999998</v>
      </c>
      <c r="I8" s="58"/>
      <c r="J8" s="168"/>
      <c r="K8" s="169">
        <f>K21+SUM(K40:K49)</f>
        <v>47.74</v>
      </c>
      <c r="L8" s="169">
        <f>L21+SUM(L40:L49)</f>
        <v>15.22519</v>
      </c>
      <c r="M8" s="170">
        <f>M11</f>
        <v>1060.8041000000001</v>
      </c>
      <c r="N8" s="283">
        <f>N11</f>
        <v>1053.09438</v>
      </c>
      <c r="O8" s="141"/>
      <c r="P8" s="141"/>
    </row>
    <row r="9" spans="1:16" x14ac:dyDescent="0.25">
      <c r="A9" s="60">
        <f>A8+1</f>
        <v>2</v>
      </c>
      <c r="B9" s="61" t="s">
        <v>142</v>
      </c>
      <c r="C9" s="65">
        <f>E9+G9+I9+K9+M9</f>
        <v>228.95699999999999</v>
      </c>
      <c r="D9" s="171">
        <f t="shared" ref="D9:D10" si="0">F9+H9+J9+L9</f>
        <v>228.95699999999999</v>
      </c>
      <c r="E9" s="172">
        <f>E10</f>
        <v>228.95699999999999</v>
      </c>
      <c r="F9" s="173">
        <f>F10</f>
        <v>228.95699999999999</v>
      </c>
      <c r="G9" s="65"/>
      <c r="H9" s="174"/>
      <c r="I9" s="65"/>
      <c r="J9" s="174"/>
      <c r="K9" s="86"/>
      <c r="L9" s="175"/>
      <c r="M9" s="176"/>
      <c r="N9" s="177"/>
    </row>
    <row r="10" spans="1:16" x14ac:dyDescent="0.25">
      <c r="A10" s="62">
        <f t="shared" ref="A10:A73" si="1">A9+1</f>
        <v>3</v>
      </c>
      <c r="B10" s="63" t="s">
        <v>143</v>
      </c>
      <c r="C10" s="235">
        <f t="shared" ref="C10:C73" si="2">E10+G10+I10+K10+M10</f>
        <v>228.95699999999999</v>
      </c>
      <c r="D10" s="90">
        <f t="shared" si="0"/>
        <v>228.95699999999999</v>
      </c>
      <c r="E10" s="178">
        <f>188.957+42-2</f>
        <v>228.95699999999999</v>
      </c>
      <c r="F10" s="143">
        <v>228.95699999999999</v>
      </c>
      <c r="G10" s="65"/>
      <c r="H10" s="174"/>
      <c r="I10" s="65"/>
      <c r="J10" s="174"/>
      <c r="K10" s="86"/>
      <c r="L10" s="175"/>
      <c r="M10" s="69"/>
      <c r="N10" s="179"/>
    </row>
    <row r="11" spans="1:16" x14ac:dyDescent="0.25">
      <c r="A11" s="60">
        <f t="shared" si="1"/>
        <v>4</v>
      </c>
      <c r="B11" s="64" t="s">
        <v>313</v>
      </c>
      <c r="C11" s="65">
        <f t="shared" si="2"/>
        <v>6465.1355199999989</v>
      </c>
      <c r="D11" s="65">
        <f>F11+H11+J11+L11+N11</f>
        <v>6456.1201099999998</v>
      </c>
      <c r="E11" s="65">
        <f>SUM(E12:E17)</f>
        <v>4892.262999999999</v>
      </c>
      <c r="F11" s="174">
        <f>SUM(F12:F17)</f>
        <v>4892.2600399999992</v>
      </c>
      <c r="G11" s="66">
        <f>G12+G14+G15+G17</f>
        <v>512.06841999999995</v>
      </c>
      <c r="H11" s="180">
        <f>H12+H13+H15+H14+H17</f>
        <v>510.76568999999995</v>
      </c>
      <c r="I11" s="65"/>
      <c r="J11" s="174"/>
      <c r="K11" s="86"/>
      <c r="L11" s="175"/>
      <c r="M11" s="67">
        <f>M17</f>
        <v>1060.8041000000001</v>
      </c>
      <c r="N11" s="296">
        <f>N17</f>
        <v>1053.09438</v>
      </c>
    </row>
    <row r="12" spans="1:16" x14ac:dyDescent="0.25">
      <c r="A12" s="62">
        <f t="shared" si="1"/>
        <v>5</v>
      </c>
      <c r="B12" s="63" t="s">
        <v>145</v>
      </c>
      <c r="C12" s="235">
        <f t="shared" si="2"/>
        <v>5121.5224199999993</v>
      </c>
      <c r="D12" s="90">
        <f>F12+H12+J12+L12</f>
        <v>5120.2196800000002</v>
      </c>
      <c r="E12" s="147">
        <f>4618.056+4.5</f>
        <v>4622.5559999999996</v>
      </c>
      <c r="F12" s="144">
        <v>4622.5559899999998</v>
      </c>
      <c r="G12" s="45">
        <f>497.02362-0.265+0.09693+0.1049-0.1+2+0.10597</f>
        <v>498.96641999999997</v>
      </c>
      <c r="H12" s="50">
        <v>497.66368999999997</v>
      </c>
      <c r="I12" s="104"/>
      <c r="J12" s="89"/>
      <c r="K12" s="116"/>
      <c r="L12" s="90"/>
      <c r="M12" s="69"/>
      <c r="N12" s="179"/>
    </row>
    <row r="13" spans="1:16" x14ac:dyDescent="0.25">
      <c r="A13" s="62">
        <f t="shared" si="1"/>
        <v>6</v>
      </c>
      <c r="B13" s="63" t="s">
        <v>146</v>
      </c>
      <c r="C13" s="235">
        <f t="shared" si="2"/>
        <v>115.785</v>
      </c>
      <c r="D13" s="90">
        <f t="shared" ref="D13:D65" si="3">F13+H13+J13+L13</f>
        <v>115.785</v>
      </c>
      <c r="E13" s="46">
        <f>100.785+15</f>
        <v>115.785</v>
      </c>
      <c r="F13" s="50">
        <v>115.785</v>
      </c>
      <c r="G13" s="104"/>
      <c r="H13" s="89"/>
      <c r="I13" s="104"/>
      <c r="J13" s="89"/>
      <c r="K13" s="116"/>
      <c r="L13" s="90"/>
      <c r="M13" s="69"/>
      <c r="N13" s="179"/>
    </row>
    <row r="14" spans="1:16" x14ac:dyDescent="0.25">
      <c r="A14" s="62">
        <f t="shared" si="1"/>
        <v>7</v>
      </c>
      <c r="B14" s="68" t="s">
        <v>148</v>
      </c>
      <c r="C14" s="235">
        <f t="shared" si="2"/>
        <v>142.172</v>
      </c>
      <c r="D14" s="90">
        <f t="shared" si="3"/>
        <v>142.172</v>
      </c>
      <c r="E14" s="146">
        <v>136.27199999999999</v>
      </c>
      <c r="F14" s="145">
        <v>136.27199999999999</v>
      </c>
      <c r="G14" s="69">
        <v>5.9</v>
      </c>
      <c r="H14" s="179">
        <v>5.9</v>
      </c>
      <c r="I14" s="104"/>
      <c r="J14" s="89"/>
      <c r="K14" s="116"/>
      <c r="L14" s="90"/>
      <c r="M14" s="69"/>
      <c r="N14" s="179"/>
    </row>
    <row r="15" spans="1:16" x14ac:dyDescent="0.25">
      <c r="A15" s="62">
        <f t="shared" si="1"/>
        <v>8</v>
      </c>
      <c r="B15" s="63" t="s">
        <v>147</v>
      </c>
      <c r="C15" s="235">
        <f t="shared" si="2"/>
        <v>0</v>
      </c>
      <c r="D15" s="90">
        <f t="shared" si="3"/>
        <v>0</v>
      </c>
      <c r="E15" s="69">
        <f>37.39772-30-7.39772</f>
        <v>0</v>
      </c>
      <c r="F15" s="89"/>
      <c r="G15" s="104"/>
      <c r="H15" s="89"/>
      <c r="I15" s="104"/>
      <c r="J15" s="89"/>
      <c r="K15" s="116"/>
      <c r="L15" s="90"/>
      <c r="M15" s="69"/>
      <c r="N15" s="179"/>
    </row>
    <row r="16" spans="1:16" ht="38.25" x14ac:dyDescent="0.25">
      <c r="A16" s="62">
        <f t="shared" si="1"/>
        <v>9</v>
      </c>
      <c r="B16" s="49" t="s">
        <v>150</v>
      </c>
      <c r="C16" s="235">
        <f t="shared" si="2"/>
        <v>17.649999999999999</v>
      </c>
      <c r="D16" s="90">
        <f t="shared" si="3"/>
        <v>17.64705</v>
      </c>
      <c r="E16" s="69">
        <v>17.649999999999999</v>
      </c>
      <c r="F16" s="89">
        <v>17.64705</v>
      </c>
      <c r="G16" s="104"/>
      <c r="H16" s="89"/>
      <c r="I16" s="104"/>
      <c r="J16" s="89"/>
      <c r="K16" s="116"/>
      <c r="L16" s="90"/>
      <c r="M16" s="69"/>
      <c r="N16" s="179"/>
    </row>
    <row r="17" spans="1:17" ht="26.25" x14ac:dyDescent="0.25">
      <c r="A17" s="62">
        <f t="shared" si="1"/>
        <v>10</v>
      </c>
      <c r="B17" s="70" t="s">
        <v>314</v>
      </c>
      <c r="C17" s="235">
        <f t="shared" si="2"/>
        <v>1068.0061000000001</v>
      </c>
      <c r="D17" s="90">
        <f>F17+H17+J17+L17+N17</f>
        <v>1060.29638</v>
      </c>
      <c r="E17" s="69"/>
      <c r="F17" s="89"/>
      <c r="G17" s="104">
        <v>7.202</v>
      </c>
      <c r="H17" s="89">
        <v>7.202</v>
      </c>
      <c r="I17" s="104"/>
      <c r="J17" s="89"/>
      <c r="K17" s="116"/>
      <c r="L17" s="90"/>
      <c r="M17" s="69">
        <f>1055.7781+5.026</f>
        <v>1060.8041000000001</v>
      </c>
      <c r="N17" s="179">
        <v>1053.09438</v>
      </c>
    </row>
    <row r="18" spans="1:17" x14ac:dyDescent="0.25">
      <c r="A18" s="60">
        <f t="shared" si="1"/>
        <v>11</v>
      </c>
      <c r="B18" s="71" t="s">
        <v>315</v>
      </c>
      <c r="C18" s="65">
        <f t="shared" si="2"/>
        <v>113.559</v>
      </c>
      <c r="D18" s="99">
        <f t="shared" si="3"/>
        <v>113.38652</v>
      </c>
      <c r="E18" s="181">
        <f>100.559+13</f>
        <v>113.559</v>
      </c>
      <c r="F18" s="182">
        <v>113.38652</v>
      </c>
      <c r="G18" s="104"/>
      <c r="H18" s="89"/>
      <c r="I18" s="104"/>
      <c r="J18" s="89"/>
      <c r="K18" s="116"/>
      <c r="L18" s="90"/>
      <c r="M18" s="69"/>
      <c r="N18" s="179"/>
      <c r="O18" s="141"/>
      <c r="Q18" s="141"/>
    </row>
    <row r="19" spans="1:17" x14ac:dyDescent="0.25">
      <c r="A19" s="60">
        <f t="shared" si="1"/>
        <v>12</v>
      </c>
      <c r="B19" s="71" t="s">
        <v>316</v>
      </c>
      <c r="C19" s="65">
        <f t="shared" si="2"/>
        <v>5</v>
      </c>
      <c r="D19" s="99">
        <f t="shared" si="3"/>
        <v>3.84917</v>
      </c>
      <c r="E19" s="67"/>
      <c r="F19" s="183"/>
      <c r="G19" s="184">
        <f>G20</f>
        <v>5</v>
      </c>
      <c r="H19" s="184">
        <f>H20</f>
        <v>3.84917</v>
      </c>
      <c r="I19" s="104"/>
      <c r="J19" s="89"/>
      <c r="K19" s="116"/>
      <c r="L19" s="90"/>
      <c r="M19" s="69"/>
      <c r="N19" s="179"/>
    </row>
    <row r="20" spans="1:17" ht="15.75" x14ac:dyDescent="0.25">
      <c r="A20" s="62">
        <f t="shared" si="1"/>
        <v>13</v>
      </c>
      <c r="B20" s="63" t="s">
        <v>161</v>
      </c>
      <c r="C20" s="235">
        <f t="shared" si="2"/>
        <v>5</v>
      </c>
      <c r="D20" s="90">
        <f t="shared" si="3"/>
        <v>3.84917</v>
      </c>
      <c r="E20" s="185"/>
      <c r="F20" s="182"/>
      <c r="G20" s="104">
        <v>5</v>
      </c>
      <c r="H20" s="89">
        <v>3.84917</v>
      </c>
      <c r="I20" s="104"/>
      <c r="J20" s="89"/>
      <c r="K20" s="186"/>
      <c r="L20" s="90"/>
      <c r="M20" s="69"/>
      <c r="N20" s="179"/>
      <c r="Q20" s="422"/>
    </row>
    <row r="21" spans="1:17" x14ac:dyDescent="0.25">
      <c r="A21" s="60">
        <f t="shared" si="1"/>
        <v>14</v>
      </c>
      <c r="B21" s="71" t="s">
        <v>317</v>
      </c>
      <c r="C21" s="65">
        <f t="shared" si="2"/>
        <v>43.2</v>
      </c>
      <c r="D21" s="99">
        <f t="shared" si="3"/>
        <v>16.243949999999998</v>
      </c>
      <c r="E21" s="184">
        <f>E22+E23+E24</f>
        <v>4.6999999999999993</v>
      </c>
      <c r="F21" s="184">
        <f>F22+F23+F24</f>
        <v>4.6715499999999999</v>
      </c>
      <c r="G21" s="184">
        <f>G22+G23+G24</f>
        <v>2.5</v>
      </c>
      <c r="H21" s="184">
        <f>H22+H23+H24</f>
        <v>2.3251599999999999</v>
      </c>
      <c r="I21" s="184"/>
      <c r="J21" s="182"/>
      <c r="K21" s="102">
        <f>K24</f>
        <v>36</v>
      </c>
      <c r="L21" s="102">
        <f>L24</f>
        <v>9.2472399999999997</v>
      </c>
      <c r="M21" s="69"/>
      <c r="N21" s="179"/>
    </row>
    <row r="22" spans="1:17" x14ac:dyDescent="0.25">
      <c r="A22" s="62">
        <f t="shared" si="1"/>
        <v>15</v>
      </c>
      <c r="B22" s="63" t="s">
        <v>318</v>
      </c>
      <c r="C22" s="235">
        <f t="shared" si="2"/>
        <v>4.6999999999999993</v>
      </c>
      <c r="D22" s="90">
        <f t="shared" si="3"/>
        <v>4.6715499999999999</v>
      </c>
      <c r="E22" s="104">
        <f>15-10.3</f>
        <v>4.6999999999999993</v>
      </c>
      <c r="F22" s="187">
        <v>4.6715499999999999</v>
      </c>
      <c r="G22" s="188"/>
      <c r="H22" s="89"/>
      <c r="I22" s="104"/>
      <c r="J22" s="89"/>
      <c r="K22" s="189"/>
      <c r="L22" s="90"/>
      <c r="M22" s="69"/>
      <c r="N22" s="179"/>
    </row>
    <row r="23" spans="1:17" x14ac:dyDescent="0.25">
      <c r="A23" s="62">
        <f t="shared" si="1"/>
        <v>16</v>
      </c>
      <c r="B23" s="70" t="s">
        <v>186</v>
      </c>
      <c r="C23" s="235">
        <f t="shared" si="2"/>
        <v>2.5</v>
      </c>
      <c r="D23" s="90">
        <f t="shared" si="3"/>
        <v>2.3251599999999999</v>
      </c>
      <c r="E23" s="69"/>
      <c r="F23" s="179"/>
      <c r="G23" s="188">
        <f>1.1+1.4</f>
        <v>2.5</v>
      </c>
      <c r="H23" s="89">
        <v>2.3251599999999999</v>
      </c>
      <c r="I23" s="104"/>
      <c r="J23" s="89"/>
      <c r="K23" s="189"/>
      <c r="L23" s="90"/>
      <c r="M23" s="69"/>
      <c r="N23" s="179"/>
    </row>
    <row r="24" spans="1:17" x14ac:dyDescent="0.25">
      <c r="A24" s="62">
        <f t="shared" si="1"/>
        <v>17</v>
      </c>
      <c r="B24" s="63" t="s">
        <v>319</v>
      </c>
      <c r="C24" s="235">
        <f t="shared" si="2"/>
        <v>36</v>
      </c>
      <c r="D24" s="90">
        <f t="shared" si="3"/>
        <v>9.2472399999999997</v>
      </c>
      <c r="E24" s="104"/>
      <c r="F24" s="89"/>
      <c r="G24" s="188"/>
      <c r="H24" s="89"/>
      <c r="I24" s="104"/>
      <c r="J24" s="89"/>
      <c r="K24" s="116">
        <f>50-14</f>
        <v>36</v>
      </c>
      <c r="L24" s="90">
        <v>9.2472399999999997</v>
      </c>
      <c r="M24" s="69"/>
      <c r="N24" s="179"/>
    </row>
    <row r="25" spans="1:17" x14ac:dyDescent="0.25">
      <c r="A25" s="60">
        <f t="shared" si="1"/>
        <v>18</v>
      </c>
      <c r="B25" s="52" t="s">
        <v>320</v>
      </c>
      <c r="C25" s="65">
        <f t="shared" si="2"/>
        <v>44.835999999999999</v>
      </c>
      <c r="D25" s="99">
        <f t="shared" si="3"/>
        <v>44.835999999999999</v>
      </c>
      <c r="E25" s="184">
        <f>E26+E27+E28</f>
        <v>44.835999999999999</v>
      </c>
      <c r="F25" s="184">
        <f>F26+F27+F28</f>
        <v>44.835999999999999</v>
      </c>
      <c r="G25" s="104"/>
      <c r="H25" s="89"/>
      <c r="I25" s="104"/>
      <c r="J25" s="89"/>
      <c r="K25" s="116"/>
      <c r="L25" s="90"/>
      <c r="M25" s="69"/>
      <c r="N25" s="179"/>
    </row>
    <row r="26" spans="1:17" x14ac:dyDescent="0.25">
      <c r="A26" s="62">
        <f t="shared" si="1"/>
        <v>19</v>
      </c>
      <c r="B26" s="72" t="s">
        <v>199</v>
      </c>
      <c r="C26" s="235">
        <f t="shared" si="2"/>
        <v>21.387999999999998</v>
      </c>
      <c r="D26" s="90">
        <f t="shared" si="3"/>
        <v>21.388000000000002</v>
      </c>
      <c r="E26" s="104">
        <f>50-15.6-13.012</f>
        <v>21.387999999999998</v>
      </c>
      <c r="F26" s="89">
        <v>21.388000000000002</v>
      </c>
      <c r="G26" s="104"/>
      <c r="H26" s="89"/>
      <c r="I26" s="104"/>
      <c r="J26" s="89"/>
      <c r="K26" s="116"/>
      <c r="L26" s="90"/>
      <c r="M26" s="69"/>
      <c r="N26" s="179"/>
      <c r="O26" s="141"/>
    </row>
    <row r="27" spans="1:17" ht="26.25" x14ac:dyDescent="0.25">
      <c r="A27" s="62">
        <f t="shared" si="1"/>
        <v>20</v>
      </c>
      <c r="B27" s="73" t="s">
        <v>321</v>
      </c>
      <c r="C27" s="235">
        <f t="shared" si="2"/>
        <v>14.45</v>
      </c>
      <c r="D27" s="90">
        <f t="shared" si="3"/>
        <v>14.45</v>
      </c>
      <c r="E27" s="104">
        <f>25-10.55</f>
        <v>14.45</v>
      </c>
      <c r="F27" s="89">
        <v>14.45</v>
      </c>
      <c r="G27" s="104"/>
      <c r="H27" s="89"/>
      <c r="I27" s="104"/>
      <c r="J27" s="89"/>
      <c r="K27" s="116"/>
      <c r="L27" s="90"/>
      <c r="M27" s="69"/>
      <c r="N27" s="179"/>
    </row>
    <row r="28" spans="1:17" ht="26.25" x14ac:dyDescent="0.25">
      <c r="A28" s="62">
        <f t="shared" si="1"/>
        <v>21</v>
      </c>
      <c r="B28" s="70" t="s">
        <v>201</v>
      </c>
      <c r="C28" s="235">
        <f t="shared" si="2"/>
        <v>8.9980000000000011</v>
      </c>
      <c r="D28" s="90">
        <f t="shared" si="3"/>
        <v>8.9979999999999993</v>
      </c>
      <c r="E28" s="69">
        <f>15-6.002</f>
        <v>8.9980000000000011</v>
      </c>
      <c r="F28" s="89">
        <v>8.9979999999999993</v>
      </c>
      <c r="G28" s="104"/>
      <c r="H28" s="89"/>
      <c r="I28" s="104"/>
      <c r="J28" s="89"/>
      <c r="K28" s="116"/>
      <c r="L28" s="90"/>
      <c r="M28" s="69"/>
      <c r="N28" s="179"/>
    </row>
    <row r="29" spans="1:17" x14ac:dyDescent="0.25">
      <c r="A29" s="60">
        <f t="shared" si="1"/>
        <v>22</v>
      </c>
      <c r="B29" s="71" t="s">
        <v>322</v>
      </c>
      <c r="C29" s="65">
        <f t="shared" si="2"/>
        <v>3</v>
      </c>
      <c r="D29" s="99">
        <f t="shared" si="3"/>
        <v>2.8788800000000001</v>
      </c>
      <c r="E29" s="184">
        <f>E30+E31</f>
        <v>3</v>
      </c>
      <c r="F29" s="184">
        <f>F30+F31</f>
        <v>2.8788800000000001</v>
      </c>
      <c r="G29" s="104"/>
      <c r="H29" s="89"/>
      <c r="I29" s="104"/>
      <c r="J29" s="89"/>
      <c r="K29" s="116"/>
      <c r="L29" s="90"/>
      <c r="M29" s="69"/>
      <c r="N29" s="179"/>
    </row>
    <row r="30" spans="1:17" ht="26.25" x14ac:dyDescent="0.25">
      <c r="A30" s="62">
        <f t="shared" si="1"/>
        <v>23</v>
      </c>
      <c r="B30" s="70" t="s">
        <v>204</v>
      </c>
      <c r="C30" s="235">
        <f t="shared" si="2"/>
        <v>1.5</v>
      </c>
      <c r="D30" s="90">
        <f t="shared" si="3"/>
        <v>1.5</v>
      </c>
      <c r="E30" s="104">
        <v>1.5</v>
      </c>
      <c r="F30" s="89">
        <v>1.5</v>
      </c>
      <c r="G30" s="104"/>
      <c r="H30" s="89"/>
      <c r="I30" s="104"/>
      <c r="J30" s="89"/>
      <c r="K30" s="116"/>
      <c r="L30" s="90"/>
      <c r="M30" s="69"/>
      <c r="N30" s="179"/>
    </row>
    <row r="31" spans="1:17" x14ac:dyDescent="0.25">
      <c r="A31" s="62">
        <f t="shared" si="1"/>
        <v>24</v>
      </c>
      <c r="B31" s="74" t="s">
        <v>323</v>
      </c>
      <c r="C31" s="235">
        <f t="shared" si="2"/>
        <v>1.5</v>
      </c>
      <c r="D31" s="90">
        <f t="shared" si="3"/>
        <v>1.3788800000000001</v>
      </c>
      <c r="E31" s="190">
        <v>1.5</v>
      </c>
      <c r="F31" s="89">
        <v>1.3788800000000001</v>
      </c>
      <c r="G31" s="104"/>
      <c r="H31" s="89"/>
      <c r="I31" s="104"/>
      <c r="J31" s="89"/>
      <c r="K31" s="116"/>
      <c r="L31" s="90"/>
      <c r="M31" s="69"/>
      <c r="N31" s="179"/>
    </row>
    <row r="32" spans="1:17" x14ac:dyDescent="0.25">
      <c r="A32" s="60">
        <f t="shared" si="1"/>
        <v>25</v>
      </c>
      <c r="B32" s="75" t="s">
        <v>324</v>
      </c>
      <c r="C32" s="65">
        <f t="shared" si="2"/>
        <v>36.299999999999997</v>
      </c>
      <c r="D32" s="99">
        <f t="shared" si="3"/>
        <v>32.381410000000002</v>
      </c>
      <c r="E32" s="67">
        <f>E33</f>
        <v>36.299999999999997</v>
      </c>
      <c r="F32" s="67">
        <f>F33</f>
        <v>32.381410000000002</v>
      </c>
      <c r="G32" s="104"/>
      <c r="H32" s="89"/>
      <c r="I32" s="104"/>
      <c r="J32" s="89"/>
      <c r="K32" s="116"/>
      <c r="L32" s="90"/>
      <c r="M32" s="69"/>
      <c r="N32" s="179"/>
    </row>
    <row r="33" spans="1:15" x14ac:dyDescent="0.25">
      <c r="A33" s="62">
        <f t="shared" si="1"/>
        <v>26</v>
      </c>
      <c r="B33" s="70" t="s">
        <v>254</v>
      </c>
      <c r="C33" s="235">
        <f t="shared" si="2"/>
        <v>36.299999999999997</v>
      </c>
      <c r="D33" s="90">
        <f t="shared" si="3"/>
        <v>32.381410000000002</v>
      </c>
      <c r="E33" s="77">
        <v>36.299999999999997</v>
      </c>
      <c r="F33" s="89">
        <v>32.381410000000002</v>
      </c>
      <c r="G33" s="104"/>
      <c r="H33" s="89"/>
      <c r="I33" s="104"/>
      <c r="J33" s="89"/>
      <c r="K33" s="116"/>
      <c r="L33" s="90"/>
      <c r="M33" s="69"/>
      <c r="N33" s="179"/>
    </row>
    <row r="34" spans="1:15" x14ac:dyDescent="0.25">
      <c r="A34" s="60">
        <f t="shared" si="1"/>
        <v>27</v>
      </c>
      <c r="B34" s="76" t="s">
        <v>325</v>
      </c>
      <c r="C34" s="65">
        <f t="shared" si="2"/>
        <v>148.07096999999999</v>
      </c>
      <c r="D34" s="99">
        <f t="shared" si="3"/>
        <v>147.02546000000001</v>
      </c>
      <c r="E34" s="67">
        <f>E35+E36+E37+E38</f>
        <v>148.07096999999999</v>
      </c>
      <c r="F34" s="67">
        <f>F35+F36+F37+F38</f>
        <v>147.02546000000001</v>
      </c>
      <c r="G34" s="104"/>
      <c r="H34" s="89"/>
      <c r="I34" s="104"/>
      <c r="J34" s="89"/>
      <c r="K34" s="116"/>
      <c r="L34" s="90"/>
      <c r="M34" s="69"/>
      <c r="N34" s="179"/>
    </row>
    <row r="35" spans="1:15" x14ac:dyDescent="0.25">
      <c r="A35" s="62">
        <f t="shared" si="1"/>
        <v>28</v>
      </c>
      <c r="B35" s="70" t="s">
        <v>217</v>
      </c>
      <c r="C35" s="235">
        <f t="shared" si="2"/>
        <v>65.3</v>
      </c>
      <c r="D35" s="90">
        <f t="shared" si="3"/>
        <v>65.3</v>
      </c>
      <c r="E35" s="69">
        <v>65.3</v>
      </c>
      <c r="F35" s="89">
        <v>65.3</v>
      </c>
      <c r="G35" s="104"/>
      <c r="H35" s="89"/>
      <c r="I35" s="104"/>
      <c r="J35" s="89"/>
      <c r="K35" s="116"/>
      <c r="L35" s="90"/>
      <c r="M35" s="69"/>
      <c r="N35" s="179"/>
    </row>
    <row r="36" spans="1:15" ht="26.25" x14ac:dyDescent="0.25">
      <c r="A36" s="62">
        <f t="shared" si="1"/>
        <v>29</v>
      </c>
      <c r="B36" s="70" t="s">
        <v>218</v>
      </c>
      <c r="C36" s="235">
        <f t="shared" si="2"/>
        <v>3.7709700000000002</v>
      </c>
      <c r="D36" s="90">
        <f t="shared" si="3"/>
        <v>3.7709700000000002</v>
      </c>
      <c r="E36" s="77">
        <v>3.7709700000000002</v>
      </c>
      <c r="F36" s="89">
        <v>3.7709700000000002</v>
      </c>
      <c r="G36" s="104"/>
      <c r="H36" s="89"/>
      <c r="I36" s="104"/>
      <c r="J36" s="89"/>
      <c r="K36" s="116"/>
      <c r="L36" s="90"/>
      <c r="M36" s="69"/>
      <c r="N36" s="179"/>
    </row>
    <row r="37" spans="1:15" x14ac:dyDescent="0.25">
      <c r="A37" s="62">
        <f t="shared" si="1"/>
        <v>30</v>
      </c>
      <c r="B37" s="49" t="s">
        <v>219</v>
      </c>
      <c r="C37" s="235">
        <f t="shared" si="2"/>
        <v>75</v>
      </c>
      <c r="D37" s="90">
        <f t="shared" si="3"/>
        <v>74.138210000000001</v>
      </c>
      <c r="E37" s="46">
        <v>75</v>
      </c>
      <c r="F37" s="192">
        <v>74.138210000000001</v>
      </c>
      <c r="G37" s="104"/>
      <c r="H37" s="193"/>
      <c r="I37" s="104"/>
      <c r="J37" s="89"/>
      <c r="K37" s="116"/>
      <c r="L37" s="90"/>
      <c r="M37" s="69"/>
      <c r="N37" s="179"/>
    </row>
    <row r="38" spans="1:15" x14ac:dyDescent="0.25">
      <c r="A38" s="62">
        <f t="shared" si="1"/>
        <v>31</v>
      </c>
      <c r="B38" s="49" t="s">
        <v>220</v>
      </c>
      <c r="C38" s="235">
        <f t="shared" si="2"/>
        <v>4</v>
      </c>
      <c r="D38" s="90">
        <f t="shared" si="3"/>
        <v>3.8162799999999999</v>
      </c>
      <c r="E38" s="46">
        <v>4</v>
      </c>
      <c r="F38" s="194">
        <v>3.8162799999999999</v>
      </c>
      <c r="G38" s="104"/>
      <c r="H38" s="195"/>
      <c r="I38" s="104"/>
      <c r="J38" s="89"/>
      <c r="K38" s="116"/>
      <c r="L38" s="90"/>
      <c r="M38" s="69"/>
      <c r="N38" s="179"/>
    </row>
    <row r="39" spans="1:15" x14ac:dyDescent="0.25">
      <c r="A39" s="60">
        <f t="shared" si="1"/>
        <v>32</v>
      </c>
      <c r="B39" s="71" t="s">
        <v>255</v>
      </c>
      <c r="C39" s="65">
        <f t="shared" si="2"/>
        <v>1465.4619999999998</v>
      </c>
      <c r="D39" s="99">
        <f t="shared" si="3"/>
        <v>1465.462</v>
      </c>
      <c r="E39" s="184">
        <f>63.932+70+9.83</f>
        <v>143.76200000000003</v>
      </c>
      <c r="F39" s="101">
        <v>143.762</v>
      </c>
      <c r="G39" s="184">
        <f>1234.6+72+15.1</f>
        <v>1321.6999999999998</v>
      </c>
      <c r="H39" s="101">
        <v>1321.7</v>
      </c>
      <c r="I39" s="184"/>
      <c r="J39" s="182"/>
      <c r="K39" s="100"/>
      <c r="L39" s="99"/>
      <c r="M39" s="69"/>
      <c r="N39" s="179"/>
    </row>
    <row r="40" spans="1:15" x14ac:dyDescent="0.25">
      <c r="A40" s="60">
        <f t="shared" si="1"/>
        <v>33</v>
      </c>
      <c r="B40" s="71" t="s">
        <v>265</v>
      </c>
      <c r="C40" s="65">
        <f t="shared" si="2"/>
        <v>22.103999999999999</v>
      </c>
      <c r="D40" s="99">
        <f t="shared" si="3"/>
        <v>21.84281</v>
      </c>
      <c r="E40" s="184">
        <f>23.404-2</f>
        <v>21.404</v>
      </c>
      <c r="F40" s="182">
        <v>21.34281</v>
      </c>
      <c r="G40" s="184">
        <v>0.5</v>
      </c>
      <c r="H40" s="182">
        <v>0.5</v>
      </c>
      <c r="I40" s="184"/>
      <c r="J40" s="182"/>
      <c r="K40" s="100">
        <v>0.2</v>
      </c>
      <c r="L40" s="99">
        <v>0</v>
      </c>
      <c r="M40" s="69"/>
      <c r="N40" s="179"/>
      <c r="O40" s="141"/>
    </row>
    <row r="41" spans="1:15" x14ac:dyDescent="0.25">
      <c r="A41" s="60">
        <f t="shared" si="1"/>
        <v>34</v>
      </c>
      <c r="B41" s="71" t="s">
        <v>266</v>
      </c>
      <c r="C41" s="65">
        <f t="shared" si="2"/>
        <v>16.762999999999998</v>
      </c>
      <c r="D41" s="99">
        <f t="shared" si="3"/>
        <v>16.20148</v>
      </c>
      <c r="E41" s="184">
        <v>12.763</v>
      </c>
      <c r="F41" s="182">
        <v>12.76136</v>
      </c>
      <c r="G41" s="184">
        <v>0.5</v>
      </c>
      <c r="H41" s="182">
        <v>0.5</v>
      </c>
      <c r="I41" s="184"/>
      <c r="J41" s="182"/>
      <c r="K41" s="100">
        <v>3.5</v>
      </c>
      <c r="L41" s="99">
        <v>2.9401199999999998</v>
      </c>
      <c r="M41" s="69"/>
      <c r="N41" s="179"/>
    </row>
    <row r="42" spans="1:15" x14ac:dyDescent="0.25">
      <c r="A42" s="60">
        <f t="shared" si="1"/>
        <v>35</v>
      </c>
      <c r="B42" s="71" t="s">
        <v>267</v>
      </c>
      <c r="C42" s="65">
        <f t="shared" si="2"/>
        <v>15.785</v>
      </c>
      <c r="D42" s="99">
        <f t="shared" si="3"/>
        <v>15.77988</v>
      </c>
      <c r="E42" s="184">
        <v>14.285</v>
      </c>
      <c r="F42" s="182">
        <v>14.27988</v>
      </c>
      <c r="G42" s="184">
        <v>0.5</v>
      </c>
      <c r="H42" s="182">
        <v>0.5</v>
      </c>
      <c r="I42" s="184"/>
      <c r="J42" s="182"/>
      <c r="K42" s="100">
        <v>1</v>
      </c>
      <c r="L42" s="99">
        <v>1</v>
      </c>
      <c r="M42" s="69"/>
      <c r="N42" s="179"/>
    </row>
    <row r="43" spans="1:15" x14ac:dyDescent="0.25">
      <c r="A43" s="60">
        <f t="shared" si="1"/>
        <v>36</v>
      </c>
      <c r="B43" s="71" t="s">
        <v>268</v>
      </c>
      <c r="C43" s="65">
        <f t="shared" si="2"/>
        <v>10.249000000000001</v>
      </c>
      <c r="D43" s="99">
        <f t="shared" si="3"/>
        <v>10.090920000000001</v>
      </c>
      <c r="E43" s="184">
        <f>8.249+2</f>
        <v>10.249000000000001</v>
      </c>
      <c r="F43" s="182">
        <v>10.090920000000001</v>
      </c>
      <c r="G43" s="184"/>
      <c r="H43" s="182"/>
      <c r="I43" s="184"/>
      <c r="J43" s="182"/>
      <c r="K43" s="100"/>
      <c r="L43" s="99"/>
      <c r="M43" s="69"/>
      <c r="N43" s="179"/>
    </row>
    <row r="44" spans="1:15" x14ac:dyDescent="0.25">
      <c r="A44" s="60">
        <f t="shared" si="1"/>
        <v>37</v>
      </c>
      <c r="B44" s="71" t="s">
        <v>269</v>
      </c>
      <c r="C44" s="65">
        <f t="shared" si="2"/>
        <v>15.815000000000001</v>
      </c>
      <c r="D44" s="99">
        <f t="shared" si="3"/>
        <v>13.13298</v>
      </c>
      <c r="E44" s="184">
        <v>12.695</v>
      </c>
      <c r="F44" s="182">
        <v>12.67844</v>
      </c>
      <c r="G44" s="184"/>
      <c r="H44" s="182"/>
      <c r="I44" s="184"/>
      <c r="J44" s="182"/>
      <c r="K44" s="100">
        <v>3.12</v>
      </c>
      <c r="L44" s="99">
        <v>0.45454</v>
      </c>
      <c r="M44" s="69"/>
      <c r="N44" s="179"/>
    </row>
    <row r="45" spans="1:15" x14ac:dyDescent="0.25">
      <c r="A45" s="60">
        <f t="shared" si="1"/>
        <v>38</v>
      </c>
      <c r="B45" s="71" t="s">
        <v>270</v>
      </c>
      <c r="C45" s="65">
        <f t="shared" si="2"/>
        <v>12.451000000000001</v>
      </c>
      <c r="D45" s="99">
        <f t="shared" si="3"/>
        <v>12.112300000000001</v>
      </c>
      <c r="E45" s="184">
        <v>11.851000000000001</v>
      </c>
      <c r="F45" s="182">
        <v>11.851000000000001</v>
      </c>
      <c r="G45" s="184"/>
      <c r="H45" s="182"/>
      <c r="I45" s="184"/>
      <c r="J45" s="182"/>
      <c r="K45" s="100">
        <v>0.6</v>
      </c>
      <c r="L45" s="99">
        <v>0.26129999999999998</v>
      </c>
      <c r="M45" s="69"/>
      <c r="N45" s="179"/>
    </row>
    <row r="46" spans="1:15" x14ac:dyDescent="0.25">
      <c r="A46" s="60">
        <f t="shared" si="1"/>
        <v>39</v>
      </c>
      <c r="B46" s="71" t="s">
        <v>326</v>
      </c>
      <c r="C46" s="65">
        <f t="shared" si="2"/>
        <v>8.0920000000000005</v>
      </c>
      <c r="D46" s="99">
        <f t="shared" si="3"/>
        <v>7.8722599999999998</v>
      </c>
      <c r="E46" s="184">
        <f>14.092-7</f>
        <v>7.0920000000000005</v>
      </c>
      <c r="F46" s="182">
        <v>7.07226</v>
      </c>
      <c r="G46" s="184">
        <v>0.5</v>
      </c>
      <c r="H46" s="182">
        <v>0.5</v>
      </c>
      <c r="I46" s="184"/>
      <c r="J46" s="182"/>
      <c r="K46" s="100">
        <v>0.5</v>
      </c>
      <c r="L46" s="99">
        <v>0.3</v>
      </c>
      <c r="M46" s="69"/>
      <c r="N46" s="179"/>
    </row>
    <row r="47" spans="1:15" x14ac:dyDescent="0.25">
      <c r="A47" s="60">
        <f t="shared" si="1"/>
        <v>40</v>
      </c>
      <c r="B47" s="71" t="s">
        <v>272</v>
      </c>
      <c r="C47" s="65">
        <f t="shared" si="2"/>
        <v>9.6310000000000002</v>
      </c>
      <c r="D47" s="99">
        <f t="shared" si="3"/>
        <v>9.0790000000000006</v>
      </c>
      <c r="E47" s="184">
        <v>9.0790000000000006</v>
      </c>
      <c r="F47" s="182">
        <v>9.0790000000000006</v>
      </c>
      <c r="G47" s="184"/>
      <c r="H47" s="182"/>
      <c r="I47" s="184"/>
      <c r="J47" s="182"/>
      <c r="K47" s="100">
        <v>0.55200000000000005</v>
      </c>
      <c r="L47" s="99">
        <v>0</v>
      </c>
      <c r="M47" s="69"/>
      <c r="N47" s="179"/>
    </row>
    <row r="48" spans="1:15" x14ac:dyDescent="0.25">
      <c r="A48" s="60">
        <f t="shared" si="1"/>
        <v>41</v>
      </c>
      <c r="B48" s="71" t="s">
        <v>273</v>
      </c>
      <c r="C48" s="65">
        <f t="shared" si="2"/>
        <v>4.7290000000000001</v>
      </c>
      <c r="D48" s="99">
        <f t="shared" si="3"/>
        <v>4.4280799999999996</v>
      </c>
      <c r="E48" s="184">
        <v>3.9289999999999998</v>
      </c>
      <c r="F48" s="182">
        <v>3.92808</v>
      </c>
      <c r="G48" s="184">
        <v>0.5</v>
      </c>
      <c r="H48" s="182">
        <v>0.5</v>
      </c>
      <c r="I48" s="184"/>
      <c r="J48" s="182"/>
      <c r="K48" s="100">
        <v>0.3</v>
      </c>
      <c r="L48" s="99">
        <v>0</v>
      </c>
      <c r="M48" s="69"/>
      <c r="N48" s="179"/>
    </row>
    <row r="49" spans="1:16" ht="15.75" thickBot="1" x14ac:dyDescent="0.3">
      <c r="A49" s="78">
        <f t="shared" si="1"/>
        <v>42</v>
      </c>
      <c r="B49" s="79" t="s">
        <v>274</v>
      </c>
      <c r="C49" s="142">
        <f t="shared" si="2"/>
        <v>11.436999999999999</v>
      </c>
      <c r="D49" s="202">
        <f t="shared" si="3"/>
        <v>10.490390000000001</v>
      </c>
      <c r="E49" s="196">
        <v>9.4689999999999994</v>
      </c>
      <c r="F49" s="197">
        <v>9.4684000000000008</v>
      </c>
      <c r="G49" s="181"/>
      <c r="H49" s="198"/>
      <c r="I49" s="199"/>
      <c r="J49" s="200"/>
      <c r="K49" s="201">
        <v>1.968</v>
      </c>
      <c r="L49" s="202">
        <v>1.02199</v>
      </c>
      <c r="M49" s="203"/>
      <c r="N49" s="204"/>
    </row>
    <row r="50" spans="1:16" ht="39.75" customHeight="1" thickBot="1" x14ac:dyDescent="0.3">
      <c r="A50" s="51">
        <f t="shared" si="1"/>
        <v>43</v>
      </c>
      <c r="B50" s="80" t="s">
        <v>327</v>
      </c>
      <c r="C50" s="81">
        <f>E50+G50+I50+K50+M50</f>
        <v>21068.756929999996</v>
      </c>
      <c r="D50" s="283">
        <f>F50+H50+J50+L50+N50</f>
        <v>20911.344359999999</v>
      </c>
      <c r="E50" s="232">
        <f>E51+SUM(E66:E103)</f>
        <v>10147.6296</v>
      </c>
      <c r="F50" s="82">
        <f t="shared" ref="F50:J50" si="4">F51+SUM(F66:F103)</f>
        <v>10092.462550000002</v>
      </c>
      <c r="G50" s="125">
        <f>G51+SUM(G66:G103)</f>
        <v>360.17599999999999</v>
      </c>
      <c r="H50" s="83">
        <f>H51+SUM(H66:H103)</f>
        <v>358.75711999999999</v>
      </c>
      <c r="I50" s="286">
        <f t="shared" si="4"/>
        <v>9682.0999999999985</v>
      </c>
      <c r="J50" s="287">
        <f t="shared" si="4"/>
        <v>9682.0999999999985</v>
      </c>
      <c r="K50" s="288">
        <f>SUM(K66:K103)</f>
        <v>675.93799999999987</v>
      </c>
      <c r="L50" s="289">
        <f>SUM(L66:L103)</f>
        <v>576.20397000000014</v>
      </c>
      <c r="M50" s="283">
        <f t="shared" ref="M50:N50" si="5">SUM(M66:M103)</f>
        <v>202.91332999999997</v>
      </c>
      <c r="N50" s="83">
        <f t="shared" si="5"/>
        <v>201.82071999999999</v>
      </c>
      <c r="O50" s="141"/>
      <c r="P50" s="141"/>
    </row>
    <row r="51" spans="1:16" x14ac:dyDescent="0.25">
      <c r="A51" s="60">
        <f t="shared" si="1"/>
        <v>44</v>
      </c>
      <c r="B51" s="84" t="s">
        <v>328</v>
      </c>
      <c r="C51" s="65">
        <f t="shared" si="2"/>
        <v>328.19060000000002</v>
      </c>
      <c r="D51" s="174">
        <f t="shared" si="3"/>
        <v>326.18169</v>
      </c>
      <c r="E51" s="86">
        <f>SUM(E52:E65)</f>
        <v>197.19059999999999</v>
      </c>
      <c r="F51" s="86">
        <f>SUM(F52:F65)</f>
        <v>195.28283999999996</v>
      </c>
      <c r="G51" s="205">
        <f>SUM(G52:G64)</f>
        <v>131</v>
      </c>
      <c r="H51" s="85">
        <f>SUM(H52:H64)</f>
        <v>130.89885000000001</v>
      </c>
      <c r="I51" s="206"/>
      <c r="J51" s="207"/>
      <c r="K51" s="208"/>
      <c r="L51" s="209"/>
      <c r="M51" s="176"/>
      <c r="N51" s="177"/>
    </row>
    <row r="52" spans="1:16" x14ac:dyDescent="0.25">
      <c r="A52" s="62">
        <f t="shared" si="1"/>
        <v>45</v>
      </c>
      <c r="B52" s="87" t="s">
        <v>229</v>
      </c>
      <c r="C52" s="235">
        <f t="shared" si="2"/>
        <v>0</v>
      </c>
      <c r="D52" s="89">
        <f t="shared" si="3"/>
        <v>0</v>
      </c>
      <c r="E52" s="116"/>
      <c r="F52" s="90"/>
      <c r="G52" s="104"/>
      <c r="H52" s="89"/>
      <c r="I52" s="116"/>
      <c r="J52" s="90"/>
      <c r="K52" s="104"/>
      <c r="L52" s="89"/>
      <c r="M52" s="69"/>
      <c r="N52" s="179"/>
    </row>
    <row r="53" spans="1:16" x14ac:dyDescent="0.25">
      <c r="A53" s="62">
        <f t="shared" si="1"/>
        <v>46</v>
      </c>
      <c r="B53" s="88" t="s">
        <v>230</v>
      </c>
      <c r="C53" s="235">
        <f t="shared" si="2"/>
        <v>159.79249999999999</v>
      </c>
      <c r="D53" s="89">
        <f t="shared" si="3"/>
        <v>159.62635</v>
      </c>
      <c r="E53" s="95">
        <v>28.7925</v>
      </c>
      <c r="F53" s="90">
        <v>28.727499999999999</v>
      </c>
      <c r="G53" s="104">
        <v>131</v>
      </c>
      <c r="H53" s="89">
        <v>130.89885000000001</v>
      </c>
      <c r="I53" s="116"/>
      <c r="J53" s="90"/>
      <c r="K53" s="104"/>
      <c r="L53" s="89"/>
      <c r="M53" s="69"/>
      <c r="N53" s="179"/>
    </row>
    <row r="54" spans="1:16" x14ac:dyDescent="0.25">
      <c r="A54" s="62">
        <f t="shared" si="1"/>
        <v>47</v>
      </c>
      <c r="B54" s="88" t="s">
        <v>231</v>
      </c>
      <c r="C54" s="235">
        <f t="shared" si="2"/>
        <v>1.9999999999999996</v>
      </c>
      <c r="D54" s="89">
        <f t="shared" si="3"/>
        <v>2</v>
      </c>
      <c r="E54" s="116">
        <f>5.64-3.64</f>
        <v>1.9999999999999996</v>
      </c>
      <c r="F54" s="90">
        <v>2</v>
      </c>
      <c r="G54" s="104"/>
      <c r="H54" s="89"/>
      <c r="I54" s="116"/>
      <c r="J54" s="90"/>
      <c r="K54" s="104"/>
      <c r="L54" s="89"/>
      <c r="M54" s="69"/>
      <c r="N54" s="179"/>
    </row>
    <row r="55" spans="1:16" x14ac:dyDescent="0.25">
      <c r="A55" s="62">
        <f t="shared" si="1"/>
        <v>48</v>
      </c>
      <c r="B55" s="88" t="s">
        <v>238</v>
      </c>
      <c r="C55" s="235">
        <f t="shared" si="2"/>
        <v>3.3</v>
      </c>
      <c r="D55" s="89">
        <f t="shared" si="3"/>
        <v>2.8780700000000001</v>
      </c>
      <c r="E55" s="116">
        <v>3.3</v>
      </c>
      <c r="F55" s="90">
        <v>2.8780700000000001</v>
      </c>
      <c r="G55" s="104"/>
      <c r="H55" s="89"/>
      <c r="I55" s="116"/>
      <c r="J55" s="90"/>
      <c r="K55" s="104"/>
      <c r="L55" s="89"/>
      <c r="M55" s="69"/>
      <c r="N55" s="179"/>
    </row>
    <row r="56" spans="1:16" x14ac:dyDescent="0.25">
      <c r="A56" s="62">
        <f t="shared" si="1"/>
        <v>49</v>
      </c>
      <c r="B56" s="88" t="s">
        <v>329</v>
      </c>
      <c r="C56" s="235">
        <f t="shared" si="2"/>
        <v>4.5</v>
      </c>
      <c r="D56" s="89">
        <f t="shared" si="3"/>
        <v>4.07667</v>
      </c>
      <c r="E56" s="116">
        <f>5-0.5</f>
        <v>4.5</v>
      </c>
      <c r="F56" s="90">
        <v>4.07667</v>
      </c>
      <c r="G56" s="104"/>
      <c r="H56" s="89"/>
      <c r="I56" s="116"/>
      <c r="J56" s="90"/>
      <c r="K56" s="104"/>
      <c r="L56" s="89"/>
      <c r="M56" s="69"/>
      <c r="N56" s="179"/>
    </row>
    <row r="57" spans="1:16" x14ac:dyDescent="0.25">
      <c r="A57" s="62">
        <f t="shared" si="1"/>
        <v>50</v>
      </c>
      <c r="B57" s="87" t="s">
        <v>233</v>
      </c>
      <c r="C57" s="235">
        <f t="shared" si="2"/>
        <v>7.1620000000000008</v>
      </c>
      <c r="D57" s="89">
        <f t="shared" si="3"/>
        <v>7.0567000000000002</v>
      </c>
      <c r="E57" s="95">
        <f>11.089-8.827+4.9</f>
        <v>7.1620000000000008</v>
      </c>
      <c r="F57" s="90">
        <v>7.0567000000000002</v>
      </c>
      <c r="G57" s="104"/>
      <c r="H57" s="89"/>
      <c r="I57" s="116"/>
      <c r="J57" s="90"/>
      <c r="K57" s="104"/>
      <c r="L57" s="89"/>
      <c r="M57" s="69"/>
      <c r="N57" s="179"/>
    </row>
    <row r="58" spans="1:16" ht="26.25" x14ac:dyDescent="0.25">
      <c r="A58" s="62">
        <f t="shared" si="1"/>
        <v>51</v>
      </c>
      <c r="B58" s="91" t="s">
        <v>330</v>
      </c>
      <c r="C58" s="235">
        <f t="shared" si="2"/>
        <v>25</v>
      </c>
      <c r="D58" s="89">
        <f t="shared" si="3"/>
        <v>25</v>
      </c>
      <c r="E58" s="95">
        <v>25</v>
      </c>
      <c r="F58" s="90">
        <v>25</v>
      </c>
      <c r="G58" s="104"/>
      <c r="H58" s="89"/>
      <c r="I58" s="116"/>
      <c r="J58" s="90"/>
      <c r="K58" s="104"/>
      <c r="L58" s="89"/>
      <c r="M58" s="69"/>
      <c r="N58" s="179"/>
    </row>
    <row r="59" spans="1:16" x14ac:dyDescent="0.25">
      <c r="A59" s="62">
        <f t="shared" si="1"/>
        <v>52</v>
      </c>
      <c r="B59" s="91" t="s">
        <v>235</v>
      </c>
      <c r="C59" s="235">
        <f t="shared" si="2"/>
        <v>61.670999999999999</v>
      </c>
      <c r="D59" s="89">
        <f t="shared" si="3"/>
        <v>61.075299999999999</v>
      </c>
      <c r="E59" s="95">
        <f>52.9+3.64+5.131</f>
        <v>61.670999999999999</v>
      </c>
      <c r="F59" s="90">
        <v>61.075299999999999</v>
      </c>
      <c r="G59" s="104"/>
      <c r="H59" s="89"/>
      <c r="I59" s="116"/>
      <c r="J59" s="90"/>
      <c r="K59" s="104"/>
      <c r="L59" s="89"/>
      <c r="M59" s="69"/>
      <c r="N59" s="179"/>
    </row>
    <row r="60" spans="1:16" x14ac:dyDescent="0.25">
      <c r="A60" s="62">
        <f t="shared" si="1"/>
        <v>53</v>
      </c>
      <c r="B60" s="91" t="s">
        <v>331</v>
      </c>
      <c r="C60" s="235">
        <f t="shared" si="2"/>
        <v>30</v>
      </c>
      <c r="D60" s="89">
        <f t="shared" si="3"/>
        <v>30</v>
      </c>
      <c r="E60" s="95">
        <v>30</v>
      </c>
      <c r="F60" s="90">
        <v>30</v>
      </c>
      <c r="G60" s="104"/>
      <c r="H60" s="89"/>
      <c r="I60" s="116"/>
      <c r="J60" s="90"/>
      <c r="K60" s="104"/>
      <c r="L60" s="89"/>
      <c r="M60" s="69"/>
      <c r="N60" s="179"/>
    </row>
    <row r="61" spans="1:16" ht="26.25" x14ac:dyDescent="0.25">
      <c r="A61" s="62">
        <f t="shared" si="1"/>
        <v>54</v>
      </c>
      <c r="B61" s="92" t="s">
        <v>237</v>
      </c>
      <c r="C61" s="235">
        <f t="shared" si="2"/>
        <v>20</v>
      </c>
      <c r="D61" s="89">
        <f t="shared" si="3"/>
        <v>20</v>
      </c>
      <c r="E61" s="210">
        <v>20</v>
      </c>
      <c r="F61" s="211">
        <v>20</v>
      </c>
      <c r="G61" s="104"/>
      <c r="H61" s="89"/>
      <c r="I61" s="116"/>
      <c r="J61" s="90"/>
      <c r="K61" s="104"/>
      <c r="L61" s="89"/>
      <c r="M61" s="69"/>
      <c r="N61" s="179"/>
    </row>
    <row r="62" spans="1:16" x14ac:dyDescent="0.25">
      <c r="A62" s="62">
        <f t="shared" si="1"/>
        <v>55</v>
      </c>
      <c r="B62" s="91" t="s">
        <v>244</v>
      </c>
      <c r="C62" s="235">
        <f t="shared" si="2"/>
        <v>6.5</v>
      </c>
      <c r="D62" s="89">
        <f t="shared" si="3"/>
        <v>6.2035</v>
      </c>
      <c r="E62" s="95">
        <v>6.5</v>
      </c>
      <c r="F62" s="212">
        <v>6.2035</v>
      </c>
      <c r="G62" s="104"/>
      <c r="H62" s="89"/>
      <c r="I62" s="116"/>
      <c r="J62" s="90"/>
      <c r="K62" s="104"/>
      <c r="L62" s="89"/>
      <c r="M62" s="69"/>
      <c r="N62" s="179"/>
    </row>
    <row r="63" spans="1:16" x14ac:dyDescent="0.25">
      <c r="A63" s="62">
        <f t="shared" si="1"/>
        <v>56</v>
      </c>
      <c r="B63" s="93" t="s">
        <v>239</v>
      </c>
      <c r="C63" s="235">
        <f t="shared" si="2"/>
        <v>7</v>
      </c>
      <c r="D63" s="89">
        <f t="shared" si="3"/>
        <v>7</v>
      </c>
      <c r="E63" s="213">
        <v>7</v>
      </c>
      <c r="F63" s="214">
        <v>7</v>
      </c>
      <c r="G63" s="190"/>
      <c r="H63" s="215"/>
      <c r="I63" s="186"/>
      <c r="J63" s="216"/>
      <c r="K63" s="190"/>
      <c r="L63" s="215"/>
      <c r="M63" s="69"/>
      <c r="N63" s="179"/>
    </row>
    <row r="64" spans="1:16" ht="51.75" x14ac:dyDescent="0.25">
      <c r="A64" s="62">
        <f t="shared" si="1"/>
        <v>57</v>
      </c>
      <c r="B64" s="91" t="s">
        <v>332</v>
      </c>
      <c r="C64" s="235">
        <f t="shared" si="2"/>
        <v>0</v>
      </c>
      <c r="D64" s="89">
        <f t="shared" si="3"/>
        <v>0</v>
      </c>
      <c r="E64" s="95"/>
      <c r="F64" s="217"/>
      <c r="G64" s="69"/>
      <c r="H64" s="179"/>
      <c r="I64" s="95"/>
      <c r="J64" s="217"/>
      <c r="K64" s="69"/>
      <c r="L64" s="179"/>
      <c r="M64" s="69"/>
      <c r="N64" s="179"/>
    </row>
    <row r="65" spans="1:14" ht="25.5" x14ac:dyDescent="0.25">
      <c r="A65" s="62">
        <f t="shared" si="1"/>
        <v>58</v>
      </c>
      <c r="B65" s="94" t="s">
        <v>190</v>
      </c>
      <c r="C65" s="235">
        <f t="shared" si="2"/>
        <v>1.2650999999999999</v>
      </c>
      <c r="D65" s="89">
        <f t="shared" si="3"/>
        <v>1.2650999999999999</v>
      </c>
      <c r="E65" s="95">
        <v>1.2650999999999999</v>
      </c>
      <c r="F65" s="217">
        <v>1.2650999999999999</v>
      </c>
      <c r="G65" s="176"/>
      <c r="H65" s="177"/>
      <c r="I65" s="218"/>
      <c r="J65" s="219"/>
      <c r="K65" s="69"/>
      <c r="L65" s="220"/>
      <c r="M65" s="69"/>
      <c r="N65" s="179"/>
    </row>
    <row r="66" spans="1:14" x14ac:dyDescent="0.25">
      <c r="A66" s="60">
        <f t="shared" si="1"/>
        <v>59</v>
      </c>
      <c r="B66" s="84" t="s">
        <v>276</v>
      </c>
      <c r="C66" s="65">
        <f t="shared" si="2"/>
        <v>703.62200000000007</v>
      </c>
      <c r="D66" s="182">
        <f t="shared" ref="D66:D91" si="6">F66+H66+J66+L66+N66</f>
        <v>699.25674000000004</v>
      </c>
      <c r="E66" s="127">
        <f>422.711+12.669+2</f>
        <v>437.38</v>
      </c>
      <c r="F66" s="221">
        <v>436.66890999999998</v>
      </c>
      <c r="G66" s="128">
        <f>2.816+6.628+0.712</f>
        <v>10.155999999999999</v>
      </c>
      <c r="H66" s="222">
        <v>10.156000000000001</v>
      </c>
      <c r="I66" s="127">
        <f>213.352+9.234</f>
        <v>222.58600000000001</v>
      </c>
      <c r="J66" s="222">
        <v>222.58600000000001</v>
      </c>
      <c r="K66" s="65">
        <f>29+4.5</f>
        <v>33.5</v>
      </c>
      <c r="L66" s="174">
        <v>29.845829999999999</v>
      </c>
      <c r="M66" s="69"/>
      <c r="N66" s="179"/>
    </row>
    <row r="67" spans="1:14" x14ac:dyDescent="0.25">
      <c r="A67" s="60">
        <f t="shared" si="1"/>
        <v>60</v>
      </c>
      <c r="B67" s="96" t="s">
        <v>277</v>
      </c>
      <c r="C67" s="65">
        <f t="shared" si="2"/>
        <v>1137.6000000000001</v>
      </c>
      <c r="D67" s="182">
        <f t="shared" si="6"/>
        <v>1133.9487899999999</v>
      </c>
      <c r="E67" s="102">
        <f>599.533+41.123+13.544+6.932</f>
        <v>661.13200000000006</v>
      </c>
      <c r="F67" s="97">
        <v>660.70232999999996</v>
      </c>
      <c r="G67" s="67">
        <f>3.056+3.534+0.979</f>
        <v>7.569</v>
      </c>
      <c r="H67" s="101">
        <v>7.569</v>
      </c>
      <c r="I67" s="102">
        <f>399.195+7.676</f>
        <v>406.87099999999998</v>
      </c>
      <c r="J67" s="101">
        <v>406.87099999999998</v>
      </c>
      <c r="K67" s="184">
        <f>55.028+7</f>
        <v>62.027999999999999</v>
      </c>
      <c r="L67" s="182">
        <v>58.806460000000001</v>
      </c>
      <c r="M67" s="69"/>
      <c r="N67" s="179"/>
    </row>
    <row r="68" spans="1:14" x14ac:dyDescent="0.25">
      <c r="A68" s="60">
        <f t="shared" si="1"/>
        <v>61</v>
      </c>
      <c r="B68" s="96" t="s">
        <v>278</v>
      </c>
      <c r="C68" s="65">
        <f t="shared" si="2"/>
        <v>503.58200000000005</v>
      </c>
      <c r="D68" s="182">
        <f t="shared" si="6"/>
        <v>500.44470000000007</v>
      </c>
      <c r="E68" s="100">
        <f>307.492+0.639-5</f>
        <v>303.13100000000003</v>
      </c>
      <c r="F68" s="97">
        <v>303.10333000000003</v>
      </c>
      <c r="G68" s="67">
        <f>7.774+3.535+0.089</f>
        <v>11.398000000000001</v>
      </c>
      <c r="H68" s="101">
        <v>11.398</v>
      </c>
      <c r="I68" s="102">
        <f>167.816+4.717</f>
        <v>172.53300000000002</v>
      </c>
      <c r="J68" s="101">
        <v>172.53299999999999</v>
      </c>
      <c r="K68" s="184">
        <f>15.52+1</f>
        <v>16.52</v>
      </c>
      <c r="L68" s="182">
        <v>13.41037</v>
      </c>
      <c r="M68" s="69"/>
      <c r="N68" s="179"/>
    </row>
    <row r="69" spans="1:14" x14ac:dyDescent="0.25">
      <c r="A69" s="60">
        <f t="shared" si="1"/>
        <v>62</v>
      </c>
      <c r="B69" s="96" t="s">
        <v>279</v>
      </c>
      <c r="C69" s="65">
        <f t="shared" si="2"/>
        <v>864.54632000000004</v>
      </c>
      <c r="D69" s="182">
        <f t="shared" si="6"/>
        <v>841.68078999999989</v>
      </c>
      <c r="E69" s="100">
        <f>455.21-12.394+15-5</f>
        <v>452.81599999999997</v>
      </c>
      <c r="F69" s="97">
        <v>436.90924999999999</v>
      </c>
      <c r="G69" s="67">
        <f>0.704+0.356</f>
        <v>1.06</v>
      </c>
      <c r="H69" s="101">
        <v>1.06</v>
      </c>
      <c r="I69" s="102">
        <f>345.285+15.904</f>
        <v>361.18900000000002</v>
      </c>
      <c r="J69" s="97">
        <v>361.18900000000002</v>
      </c>
      <c r="K69" s="184">
        <v>48</v>
      </c>
      <c r="L69" s="182">
        <v>41.041220000000003</v>
      </c>
      <c r="M69" s="67">
        <v>1.48132</v>
      </c>
      <c r="N69" s="101">
        <v>1.48132</v>
      </c>
    </row>
    <row r="70" spans="1:14" x14ac:dyDescent="0.25">
      <c r="A70" s="60">
        <f t="shared" si="1"/>
        <v>63</v>
      </c>
      <c r="B70" s="96" t="s">
        <v>280</v>
      </c>
      <c r="C70" s="65">
        <f t="shared" si="2"/>
        <v>429.82400000000001</v>
      </c>
      <c r="D70" s="182">
        <f t="shared" si="6"/>
        <v>427.21874000000003</v>
      </c>
      <c r="E70" s="100">
        <v>217.37100000000001</v>
      </c>
      <c r="F70" s="97">
        <v>216.94386</v>
      </c>
      <c r="G70" s="184"/>
      <c r="H70" s="182"/>
      <c r="I70" s="100">
        <f>203.296-4.043</f>
        <v>199.25299999999999</v>
      </c>
      <c r="J70" s="99">
        <v>199.25299999999999</v>
      </c>
      <c r="K70" s="184">
        <v>13.2</v>
      </c>
      <c r="L70" s="182">
        <v>11.021879999999999</v>
      </c>
      <c r="M70" s="67"/>
      <c r="N70" s="101"/>
    </row>
    <row r="71" spans="1:14" x14ac:dyDescent="0.25">
      <c r="A71" s="60">
        <f t="shared" si="1"/>
        <v>64</v>
      </c>
      <c r="B71" s="96" t="s">
        <v>281</v>
      </c>
      <c r="C71" s="65">
        <f t="shared" si="2"/>
        <v>1125.92992</v>
      </c>
      <c r="D71" s="182">
        <f t="shared" si="6"/>
        <v>1105.96398</v>
      </c>
      <c r="E71" s="100">
        <f>661.687-1.635-19-18.9</f>
        <v>622.15200000000004</v>
      </c>
      <c r="F71" s="99">
        <v>618.21157000000005</v>
      </c>
      <c r="G71" s="104"/>
      <c r="H71" s="89"/>
      <c r="I71" s="100">
        <f>423.622+2.997</f>
        <v>426.61900000000003</v>
      </c>
      <c r="J71" s="99">
        <v>426.61900000000003</v>
      </c>
      <c r="K71" s="184">
        <v>63.6</v>
      </c>
      <c r="L71" s="182">
        <v>47.574489999999997</v>
      </c>
      <c r="M71" s="67">
        <v>13.558920000000001</v>
      </c>
      <c r="N71" s="101">
        <v>13.558920000000001</v>
      </c>
    </row>
    <row r="72" spans="1:14" x14ac:dyDescent="0.25">
      <c r="A72" s="60">
        <f t="shared" si="1"/>
        <v>65</v>
      </c>
      <c r="B72" s="96" t="s">
        <v>282</v>
      </c>
      <c r="C72" s="65">
        <f t="shared" si="2"/>
        <v>1265.3561399999999</v>
      </c>
      <c r="D72" s="182">
        <f t="shared" si="6"/>
        <v>1263.9365299999999</v>
      </c>
      <c r="E72" s="102">
        <f>322.269-0.978+0.5+9.5</f>
        <v>331.291</v>
      </c>
      <c r="F72" s="99">
        <v>330.06130999999999</v>
      </c>
      <c r="G72" s="184"/>
      <c r="H72" s="182"/>
      <c r="I72" s="102">
        <f>865.056+0.724+19.37</f>
        <v>885.15000000000009</v>
      </c>
      <c r="J72" s="97">
        <v>885.15</v>
      </c>
      <c r="K72" s="184">
        <f>15.3+6.1+2.2</f>
        <v>23.599999999999998</v>
      </c>
      <c r="L72" s="182">
        <v>23.410080000000001</v>
      </c>
      <c r="M72" s="67">
        <v>25.31514</v>
      </c>
      <c r="N72" s="101">
        <v>25.31514</v>
      </c>
    </row>
    <row r="73" spans="1:14" x14ac:dyDescent="0.25">
      <c r="A73" s="60">
        <f t="shared" si="1"/>
        <v>66</v>
      </c>
      <c r="B73" s="96" t="s">
        <v>333</v>
      </c>
      <c r="C73" s="65">
        <f t="shared" si="2"/>
        <v>164.94800000000001</v>
      </c>
      <c r="D73" s="182">
        <f t="shared" si="6"/>
        <v>163.56402</v>
      </c>
      <c r="E73" s="100">
        <f>67.627+0.462+0.643-6.2</f>
        <v>62.531999999999996</v>
      </c>
      <c r="F73" s="99">
        <v>62.531999999999996</v>
      </c>
      <c r="G73" s="184">
        <v>1.7669999999999999</v>
      </c>
      <c r="H73" s="182">
        <v>1.7669999999999999</v>
      </c>
      <c r="I73" s="100">
        <f>88.461+3.788</f>
        <v>92.248999999999995</v>
      </c>
      <c r="J73" s="99">
        <v>92.248999999999995</v>
      </c>
      <c r="K73" s="184">
        <f>5.4+3</f>
        <v>8.4</v>
      </c>
      <c r="L73" s="182">
        <v>7.0160200000000001</v>
      </c>
      <c r="M73" s="67"/>
      <c r="N73" s="101"/>
    </row>
    <row r="74" spans="1:14" x14ac:dyDescent="0.25">
      <c r="A74" s="60">
        <f t="shared" ref="A74:A137" si="7">A73+1</f>
        <v>67</v>
      </c>
      <c r="B74" s="96" t="s">
        <v>284</v>
      </c>
      <c r="C74" s="65">
        <f t="shared" ref="C74:C137" si="8">E74+G74+I74+K74+M74</f>
        <v>2430.1123200000002</v>
      </c>
      <c r="D74" s="182">
        <f t="shared" si="6"/>
        <v>2425.2173999999995</v>
      </c>
      <c r="E74" s="102">
        <f>833.715+5.647+35+32.64</f>
        <v>907.00200000000007</v>
      </c>
      <c r="F74" s="101">
        <v>906.98476000000005</v>
      </c>
      <c r="G74" s="184"/>
      <c r="H74" s="182"/>
      <c r="I74" s="102">
        <f>1389.824+3.601+16.912</f>
        <v>1410.3370000000002</v>
      </c>
      <c r="J74" s="97">
        <v>1410.337</v>
      </c>
      <c r="K74" s="184">
        <f>74+5</f>
        <v>79</v>
      </c>
      <c r="L74" s="182">
        <v>74.122320000000002</v>
      </c>
      <c r="M74" s="67">
        <v>33.773319999999998</v>
      </c>
      <c r="N74" s="101">
        <v>33.773319999999998</v>
      </c>
    </row>
    <row r="75" spans="1:14" x14ac:dyDescent="0.25">
      <c r="A75" s="60">
        <f t="shared" si="7"/>
        <v>68</v>
      </c>
      <c r="B75" s="98" t="s">
        <v>334</v>
      </c>
      <c r="C75" s="65">
        <f t="shared" si="8"/>
        <v>271.06799999999998</v>
      </c>
      <c r="D75" s="182">
        <f t="shared" si="6"/>
        <v>271.06800000000004</v>
      </c>
      <c r="E75" s="100">
        <v>14.182</v>
      </c>
      <c r="F75" s="99">
        <v>14.182</v>
      </c>
      <c r="G75" s="184"/>
      <c r="H75" s="182"/>
      <c r="I75" s="100">
        <f>262.171-5.285</f>
        <v>256.88599999999997</v>
      </c>
      <c r="J75" s="99">
        <v>256.88600000000002</v>
      </c>
      <c r="K75" s="184"/>
      <c r="L75" s="182"/>
      <c r="M75" s="67"/>
      <c r="N75" s="101"/>
    </row>
    <row r="76" spans="1:14" ht="26.25" x14ac:dyDescent="0.25">
      <c r="A76" s="60">
        <f t="shared" si="7"/>
        <v>69</v>
      </c>
      <c r="B76" s="98" t="s">
        <v>335</v>
      </c>
      <c r="C76" s="65">
        <f t="shared" si="8"/>
        <v>16.149999999999999</v>
      </c>
      <c r="D76" s="182">
        <f t="shared" si="6"/>
        <v>16.149999999999999</v>
      </c>
      <c r="E76" s="100"/>
      <c r="F76" s="99"/>
      <c r="G76" s="184">
        <v>0.8</v>
      </c>
      <c r="H76" s="182">
        <v>0.8</v>
      </c>
      <c r="I76" s="100">
        <f>14.812+0.538</f>
        <v>15.35</v>
      </c>
      <c r="J76" s="99">
        <v>15.35</v>
      </c>
      <c r="K76" s="184"/>
      <c r="L76" s="182"/>
      <c r="M76" s="67"/>
      <c r="N76" s="101"/>
    </row>
    <row r="77" spans="1:14" x14ac:dyDescent="0.25">
      <c r="A77" s="60">
        <f t="shared" si="7"/>
        <v>70</v>
      </c>
      <c r="B77" s="96" t="s">
        <v>287</v>
      </c>
      <c r="C77" s="65">
        <f t="shared" si="8"/>
        <v>2090.2648999999997</v>
      </c>
      <c r="D77" s="182">
        <f t="shared" si="6"/>
        <v>2090.2648999999997</v>
      </c>
      <c r="E77" s="100">
        <f>605.136+2.582</f>
        <v>607.71799999999996</v>
      </c>
      <c r="F77" s="99">
        <v>607.71799999999996</v>
      </c>
      <c r="G77" s="67">
        <f>11.16+0.676</f>
        <v>11.836</v>
      </c>
      <c r="H77" s="101">
        <v>11.836</v>
      </c>
      <c r="I77" s="102">
        <f>1405.815+1.329+14.042</f>
        <v>1421.1859999999999</v>
      </c>
      <c r="J77" s="97">
        <v>1421.1859999999999</v>
      </c>
      <c r="K77" s="184">
        <f>29+10+4</f>
        <v>43</v>
      </c>
      <c r="L77" s="182">
        <v>43</v>
      </c>
      <c r="M77" s="67">
        <v>6.5248999999999997</v>
      </c>
      <c r="N77" s="101">
        <v>6.5248999999999997</v>
      </c>
    </row>
    <row r="78" spans="1:14" x14ac:dyDescent="0.25">
      <c r="A78" s="60">
        <f t="shared" si="7"/>
        <v>71</v>
      </c>
      <c r="B78" s="96" t="s">
        <v>288</v>
      </c>
      <c r="C78" s="65">
        <f t="shared" si="8"/>
        <v>1231.1813699999998</v>
      </c>
      <c r="D78" s="182">
        <f t="shared" si="6"/>
        <v>1225.98405</v>
      </c>
      <c r="E78" s="100">
        <f>481.311+3.114</f>
        <v>484.42499999999995</v>
      </c>
      <c r="F78" s="99">
        <v>484.42500000000001</v>
      </c>
      <c r="G78" s="67">
        <v>2.48</v>
      </c>
      <c r="H78" s="101">
        <v>1.1622699999999999</v>
      </c>
      <c r="I78" s="102">
        <f>697.191+0.477+13.337</f>
        <v>711.005</v>
      </c>
      <c r="J78" s="97">
        <v>711.005</v>
      </c>
      <c r="K78" s="184">
        <f>20+4+5</f>
        <v>29</v>
      </c>
      <c r="L78" s="182">
        <v>25.12041</v>
      </c>
      <c r="M78" s="67">
        <v>4.2713700000000001</v>
      </c>
      <c r="N78" s="101">
        <v>4.2713700000000001</v>
      </c>
    </row>
    <row r="79" spans="1:14" x14ac:dyDescent="0.25">
      <c r="A79" s="60">
        <f t="shared" si="7"/>
        <v>72</v>
      </c>
      <c r="B79" s="96" t="s">
        <v>336</v>
      </c>
      <c r="C79" s="65">
        <f t="shared" si="8"/>
        <v>79.069000000000003</v>
      </c>
      <c r="D79" s="182">
        <f t="shared" si="6"/>
        <v>78.100290000000001</v>
      </c>
      <c r="E79" s="100">
        <v>69.569000000000003</v>
      </c>
      <c r="F79" s="99">
        <v>69.569000000000003</v>
      </c>
      <c r="G79" s="184"/>
      <c r="H79" s="182"/>
      <c r="I79" s="100"/>
      <c r="J79" s="99"/>
      <c r="K79" s="184">
        <f>6+2.5+1</f>
        <v>9.5</v>
      </c>
      <c r="L79" s="182">
        <v>8.5312900000000003</v>
      </c>
      <c r="M79" s="67"/>
      <c r="N79" s="101"/>
    </row>
    <row r="80" spans="1:14" x14ac:dyDescent="0.25">
      <c r="A80" s="60">
        <f t="shared" si="7"/>
        <v>73</v>
      </c>
      <c r="B80" s="96" t="s">
        <v>337</v>
      </c>
      <c r="C80" s="65">
        <f t="shared" si="8"/>
        <v>1270.1576799999998</v>
      </c>
      <c r="D80" s="182">
        <f t="shared" si="6"/>
        <v>1269.0918999999999</v>
      </c>
      <c r="E80" s="100">
        <f>544.027+30.01444-11.663+4.228+1.5-18.1</f>
        <v>550.00644</v>
      </c>
      <c r="F80" s="97">
        <v>550.00644</v>
      </c>
      <c r="G80" s="67">
        <v>1.24</v>
      </c>
      <c r="H80" s="101">
        <v>1.24</v>
      </c>
      <c r="I80" s="100">
        <f>661.216+0.867+32.00283</f>
        <v>694.08582999999999</v>
      </c>
      <c r="J80" s="101">
        <v>694.08582999999999</v>
      </c>
      <c r="K80" s="184">
        <f>13.4+5.9</f>
        <v>19.3</v>
      </c>
      <c r="L80" s="182">
        <v>18.234220000000001</v>
      </c>
      <c r="M80" s="67">
        <v>5.5254099999999999</v>
      </c>
      <c r="N80" s="101">
        <v>5.5254099999999999</v>
      </c>
    </row>
    <row r="81" spans="1:14" x14ac:dyDescent="0.25">
      <c r="A81" s="60">
        <f t="shared" si="7"/>
        <v>74</v>
      </c>
      <c r="B81" s="96" t="s">
        <v>338</v>
      </c>
      <c r="C81" s="65">
        <f t="shared" si="8"/>
        <v>371.34973000000002</v>
      </c>
      <c r="D81" s="182">
        <f t="shared" si="6"/>
        <v>369.71589999999998</v>
      </c>
      <c r="E81" s="102">
        <f>270.067-81.91444</f>
        <v>188.15255999999999</v>
      </c>
      <c r="F81" s="99">
        <v>188.15255999999999</v>
      </c>
      <c r="G81" s="67">
        <v>6.3719999999999999</v>
      </c>
      <c r="H81" s="179">
        <v>6.3719999999999999</v>
      </c>
      <c r="I81" s="100">
        <f>258.126-85.90083</f>
        <v>172.22516999999999</v>
      </c>
      <c r="J81" s="101">
        <v>172.22516999999999</v>
      </c>
      <c r="K81" s="184">
        <v>4.5999999999999996</v>
      </c>
      <c r="L81" s="182">
        <v>2.96617</v>
      </c>
      <c r="M81" s="67"/>
      <c r="N81" s="101"/>
    </row>
    <row r="82" spans="1:14" x14ac:dyDescent="0.25">
      <c r="A82" s="60">
        <f t="shared" si="7"/>
        <v>75</v>
      </c>
      <c r="B82" s="96" t="s">
        <v>339</v>
      </c>
      <c r="C82" s="65">
        <f t="shared" si="8"/>
        <v>323.67900000000003</v>
      </c>
      <c r="D82" s="182">
        <f t="shared" si="6"/>
        <v>318.32777000000004</v>
      </c>
      <c r="E82" s="100">
        <f>208.436-3.511-4</f>
        <v>200.92500000000001</v>
      </c>
      <c r="F82" s="97">
        <v>200.92500000000001</v>
      </c>
      <c r="G82" s="184"/>
      <c r="H82" s="182"/>
      <c r="I82" s="100">
        <f>116.709-6.655</f>
        <v>110.054</v>
      </c>
      <c r="J82" s="101">
        <v>110.054</v>
      </c>
      <c r="K82" s="184">
        <v>12.7</v>
      </c>
      <c r="L82" s="182">
        <v>7.34877</v>
      </c>
      <c r="M82" s="67"/>
      <c r="N82" s="101"/>
    </row>
    <row r="83" spans="1:14" x14ac:dyDescent="0.25">
      <c r="A83" s="60">
        <f t="shared" si="7"/>
        <v>76</v>
      </c>
      <c r="B83" s="103" t="s">
        <v>293</v>
      </c>
      <c r="C83" s="65">
        <f t="shared" si="8"/>
        <v>72.515000000000001</v>
      </c>
      <c r="D83" s="182">
        <f t="shared" si="6"/>
        <v>71.22178000000001</v>
      </c>
      <c r="E83" s="100">
        <v>68.215000000000003</v>
      </c>
      <c r="F83" s="97">
        <v>68.215000000000003</v>
      </c>
      <c r="G83" s="184"/>
      <c r="H83" s="182"/>
      <c r="I83" s="100"/>
      <c r="J83" s="99"/>
      <c r="K83" s="184">
        <f>2.2+2.1</f>
        <v>4.3000000000000007</v>
      </c>
      <c r="L83" s="182">
        <v>3.00678</v>
      </c>
      <c r="M83" s="67"/>
      <c r="N83" s="101"/>
    </row>
    <row r="84" spans="1:14" x14ac:dyDescent="0.25">
      <c r="A84" s="60">
        <f t="shared" si="7"/>
        <v>77</v>
      </c>
      <c r="B84" s="96" t="s">
        <v>294</v>
      </c>
      <c r="C84" s="65">
        <f t="shared" si="8"/>
        <v>1011.93753</v>
      </c>
      <c r="D84" s="182">
        <f t="shared" si="6"/>
        <v>1009.10428</v>
      </c>
      <c r="E84" s="100">
        <f>345.54+2</f>
        <v>347.54</v>
      </c>
      <c r="F84" s="97">
        <v>347.27485000000001</v>
      </c>
      <c r="G84" s="69"/>
      <c r="H84" s="179"/>
      <c r="I84" s="102">
        <f>613.893+0.835+17.479</f>
        <v>632.20700000000011</v>
      </c>
      <c r="J84" s="101">
        <v>632.20699999999999</v>
      </c>
      <c r="K84" s="184">
        <f>18+3+1.5</f>
        <v>22.5</v>
      </c>
      <c r="L84" s="182">
        <v>19.931899999999999</v>
      </c>
      <c r="M84" s="67">
        <v>9.6905300000000008</v>
      </c>
      <c r="N84" s="101">
        <v>9.6905300000000008</v>
      </c>
    </row>
    <row r="85" spans="1:14" x14ac:dyDescent="0.25">
      <c r="A85" s="60">
        <f t="shared" si="7"/>
        <v>78</v>
      </c>
      <c r="B85" s="96" t="s">
        <v>340</v>
      </c>
      <c r="C85" s="65">
        <f t="shared" si="8"/>
        <v>353.17700000000002</v>
      </c>
      <c r="D85" s="182">
        <f t="shared" si="6"/>
        <v>351.54829000000001</v>
      </c>
      <c r="E85" s="100">
        <f>205.738-9.447-2</f>
        <v>194.291</v>
      </c>
      <c r="F85" s="97">
        <v>194.17959999999999</v>
      </c>
      <c r="G85" s="67">
        <f>9.182+1.767+1.068</f>
        <v>12.016999999999999</v>
      </c>
      <c r="H85" s="101">
        <v>12.016999999999999</v>
      </c>
      <c r="I85" s="102">
        <f>127.622+5.827</f>
        <v>133.44900000000001</v>
      </c>
      <c r="J85" s="101">
        <v>133.44900000000001</v>
      </c>
      <c r="K85" s="184">
        <f>12.82+0.6</f>
        <v>13.42</v>
      </c>
      <c r="L85" s="182">
        <v>11.90269</v>
      </c>
      <c r="M85" s="67"/>
      <c r="N85" s="101"/>
    </row>
    <row r="86" spans="1:14" x14ac:dyDescent="0.25">
      <c r="A86" s="60">
        <f t="shared" si="7"/>
        <v>79</v>
      </c>
      <c r="B86" s="96" t="s">
        <v>341</v>
      </c>
      <c r="C86" s="65">
        <f t="shared" si="8"/>
        <v>57.996000000000002</v>
      </c>
      <c r="D86" s="182">
        <f t="shared" si="6"/>
        <v>56.445309999999999</v>
      </c>
      <c r="E86" s="100">
        <f>58.854-4.058</f>
        <v>54.795999999999999</v>
      </c>
      <c r="F86" s="97">
        <v>54.795999999999999</v>
      </c>
      <c r="G86" s="69"/>
      <c r="H86" s="179"/>
      <c r="I86" s="102"/>
      <c r="J86" s="97"/>
      <c r="K86" s="184">
        <f>2.6+0.6</f>
        <v>3.2</v>
      </c>
      <c r="L86" s="182">
        <v>1.6493100000000001</v>
      </c>
      <c r="M86" s="67"/>
      <c r="N86" s="101"/>
    </row>
    <row r="87" spans="1:14" x14ac:dyDescent="0.25">
      <c r="A87" s="60">
        <f t="shared" si="7"/>
        <v>80</v>
      </c>
      <c r="B87" s="96" t="s">
        <v>297</v>
      </c>
      <c r="C87" s="65">
        <f t="shared" si="8"/>
        <v>1274.1773599999997</v>
      </c>
      <c r="D87" s="182">
        <f t="shared" si="6"/>
        <v>1270.8534199999999</v>
      </c>
      <c r="E87" s="100">
        <f>621.631-24.859-35-18.35</f>
        <v>543.42199999999991</v>
      </c>
      <c r="F87" s="99">
        <v>543.11798999999996</v>
      </c>
      <c r="G87" s="67">
        <v>0.35599999999999998</v>
      </c>
      <c r="H87" s="101">
        <v>0.35599999999999998</v>
      </c>
      <c r="I87" s="102">
        <f>695.384+0.615+10.579</f>
        <v>706.57799999999997</v>
      </c>
      <c r="J87" s="97">
        <v>706.57799999999997</v>
      </c>
      <c r="K87" s="184">
        <v>19</v>
      </c>
      <c r="L87" s="182">
        <v>16.190169999999998</v>
      </c>
      <c r="M87" s="67">
        <v>4.8213600000000003</v>
      </c>
      <c r="N87" s="101">
        <v>4.6112599999999997</v>
      </c>
    </row>
    <row r="88" spans="1:14" x14ac:dyDescent="0.25">
      <c r="A88" s="60">
        <f t="shared" si="7"/>
        <v>81</v>
      </c>
      <c r="B88" s="96" t="s">
        <v>298</v>
      </c>
      <c r="C88" s="65">
        <f t="shared" si="8"/>
        <v>553.72519999999997</v>
      </c>
      <c r="D88" s="182">
        <f t="shared" si="6"/>
        <v>531.53590999999994</v>
      </c>
      <c r="E88" s="100">
        <f>120.227-5.841+7.5-8.596</f>
        <v>113.29</v>
      </c>
      <c r="F88" s="99">
        <v>94.178939999999997</v>
      </c>
      <c r="G88" s="67">
        <v>134.9</v>
      </c>
      <c r="H88" s="101">
        <v>134.9</v>
      </c>
      <c r="I88" s="100">
        <f>302.347+0.244-4.318</f>
        <v>298.27300000000002</v>
      </c>
      <c r="J88" s="99">
        <v>298.27300000000002</v>
      </c>
      <c r="K88" s="184">
        <v>7.1</v>
      </c>
      <c r="L88" s="182">
        <v>4.0217700000000001</v>
      </c>
      <c r="M88" s="67">
        <v>0.16220000000000001</v>
      </c>
      <c r="N88" s="101">
        <v>0.16220000000000001</v>
      </c>
    </row>
    <row r="89" spans="1:14" x14ac:dyDescent="0.25">
      <c r="A89" s="60">
        <f t="shared" si="7"/>
        <v>82</v>
      </c>
      <c r="B89" s="96" t="s">
        <v>299</v>
      </c>
      <c r="C89" s="65">
        <f t="shared" si="8"/>
        <v>669.18099999999993</v>
      </c>
      <c r="D89" s="182">
        <f t="shared" si="6"/>
        <v>660.45496000000003</v>
      </c>
      <c r="E89" s="102">
        <f>598.164+1.35+2.367</f>
        <v>601.88099999999997</v>
      </c>
      <c r="F89" s="97">
        <v>601.88021000000003</v>
      </c>
      <c r="G89" s="184"/>
      <c r="H89" s="182"/>
      <c r="I89" s="100">
        <v>32</v>
      </c>
      <c r="J89" s="99">
        <v>32</v>
      </c>
      <c r="K89" s="184">
        <f>33+2.3</f>
        <v>35.299999999999997</v>
      </c>
      <c r="L89" s="182">
        <v>26.574750000000002</v>
      </c>
      <c r="M89" s="67"/>
      <c r="N89" s="101"/>
    </row>
    <row r="90" spans="1:14" x14ac:dyDescent="0.25">
      <c r="A90" s="60">
        <f t="shared" si="7"/>
        <v>83</v>
      </c>
      <c r="B90" s="96" t="s">
        <v>300</v>
      </c>
      <c r="C90" s="65">
        <f t="shared" si="8"/>
        <v>226.84299999999999</v>
      </c>
      <c r="D90" s="182">
        <f t="shared" si="6"/>
        <v>224.97604000000001</v>
      </c>
      <c r="E90" s="102">
        <f>200.506-10.145+1.332</f>
        <v>191.69299999999998</v>
      </c>
      <c r="F90" s="97">
        <v>191.69238000000001</v>
      </c>
      <c r="G90" s="104"/>
      <c r="H90" s="89"/>
      <c r="I90" s="100">
        <v>18</v>
      </c>
      <c r="J90" s="99">
        <v>18</v>
      </c>
      <c r="K90" s="184">
        <f>15+2.15</f>
        <v>17.149999999999999</v>
      </c>
      <c r="L90" s="182">
        <v>15.283659999999999</v>
      </c>
      <c r="M90" s="67"/>
      <c r="N90" s="101"/>
    </row>
    <row r="91" spans="1:14" x14ac:dyDescent="0.25">
      <c r="A91" s="60">
        <f t="shared" si="7"/>
        <v>84</v>
      </c>
      <c r="B91" s="96" t="s">
        <v>301</v>
      </c>
      <c r="C91" s="65">
        <f t="shared" si="8"/>
        <v>332.95456000000001</v>
      </c>
      <c r="D91" s="182">
        <f t="shared" si="6"/>
        <v>325.91318999999999</v>
      </c>
      <c r="E91" s="102">
        <f>302.548+0.933</f>
        <v>303.48099999999999</v>
      </c>
      <c r="F91" s="99">
        <v>298.77708999999999</v>
      </c>
      <c r="G91" s="184"/>
      <c r="H91" s="182"/>
      <c r="I91" s="100">
        <f>11.282+0.09</f>
        <v>11.372</v>
      </c>
      <c r="J91" s="99">
        <v>11.372</v>
      </c>
      <c r="K91" s="184">
        <v>14.3</v>
      </c>
      <c r="L91" s="182">
        <v>11.962540000000001</v>
      </c>
      <c r="M91" s="67">
        <v>3.8015599999999998</v>
      </c>
      <c r="N91" s="101">
        <v>3.8015599999999998</v>
      </c>
    </row>
    <row r="92" spans="1:14" x14ac:dyDescent="0.25">
      <c r="A92" s="60">
        <f t="shared" si="7"/>
        <v>85</v>
      </c>
      <c r="B92" s="66" t="s">
        <v>302</v>
      </c>
      <c r="C92" s="65">
        <f t="shared" si="8"/>
        <v>342.44722999999999</v>
      </c>
      <c r="D92" s="182">
        <f>F92+H92+J92+L92+N92</f>
        <v>332.07745</v>
      </c>
      <c r="E92" s="102">
        <v>179.02877000000001</v>
      </c>
      <c r="F92" s="101">
        <v>178.58622</v>
      </c>
      <c r="G92" s="104"/>
      <c r="H92" s="89"/>
      <c r="I92" s="100">
        <v>45.823160000000001</v>
      </c>
      <c r="J92" s="99">
        <v>45.823160000000001</v>
      </c>
      <c r="K92" s="184">
        <v>23.608000000000001</v>
      </c>
      <c r="L92" s="182">
        <v>14.563280000000001</v>
      </c>
      <c r="M92" s="67">
        <v>93.987300000000005</v>
      </c>
      <c r="N92" s="101">
        <v>93.104789999999994</v>
      </c>
    </row>
    <row r="93" spans="1:14" x14ac:dyDescent="0.25">
      <c r="A93" s="60">
        <f t="shared" si="7"/>
        <v>86</v>
      </c>
      <c r="B93" s="98" t="s">
        <v>303</v>
      </c>
      <c r="C93" s="65">
        <f t="shared" si="8"/>
        <v>0</v>
      </c>
      <c r="D93" s="182">
        <f t="shared" ref="D93:D140" si="9">F93+H93+J93+L93</f>
        <v>0</v>
      </c>
      <c r="E93" s="102">
        <v>0</v>
      </c>
      <c r="F93" s="97"/>
      <c r="G93" s="104"/>
      <c r="H93" s="89"/>
      <c r="I93" s="67">
        <v>0</v>
      </c>
      <c r="J93" s="101"/>
      <c r="K93" s="184">
        <v>0</v>
      </c>
      <c r="L93" s="182"/>
      <c r="M93" s="69"/>
      <c r="N93" s="179"/>
    </row>
    <row r="94" spans="1:14" x14ac:dyDescent="0.25">
      <c r="A94" s="60">
        <f t="shared" si="7"/>
        <v>87</v>
      </c>
      <c r="B94" s="66" t="s">
        <v>304</v>
      </c>
      <c r="C94" s="65">
        <f t="shared" si="8"/>
        <v>113.13807</v>
      </c>
      <c r="D94" s="182">
        <f t="shared" si="9"/>
        <v>113.13807</v>
      </c>
      <c r="E94" s="102">
        <v>41.150230000000001</v>
      </c>
      <c r="F94" s="97">
        <v>41.150230000000001</v>
      </c>
      <c r="G94" s="104"/>
      <c r="H94" s="89"/>
      <c r="I94" s="67">
        <v>71.595839999999995</v>
      </c>
      <c r="J94" s="101">
        <v>71.595839999999995</v>
      </c>
      <c r="K94" s="184">
        <v>0.39200000000000002</v>
      </c>
      <c r="L94" s="182">
        <v>0.39200000000000002</v>
      </c>
      <c r="M94" s="69"/>
      <c r="N94" s="179"/>
    </row>
    <row r="95" spans="1:14" x14ac:dyDescent="0.25">
      <c r="A95" s="60">
        <f t="shared" si="7"/>
        <v>88</v>
      </c>
      <c r="B95" s="96" t="s">
        <v>305</v>
      </c>
      <c r="C95" s="65">
        <f t="shared" si="8"/>
        <v>451.63200000000006</v>
      </c>
      <c r="D95" s="182">
        <f t="shared" si="9"/>
        <v>443.25487000000004</v>
      </c>
      <c r="E95" s="121">
        <f>309.653+2+2.7-8.7+2.723</f>
        <v>308.37600000000003</v>
      </c>
      <c r="F95" s="122">
        <v>306.8039</v>
      </c>
      <c r="G95" s="67">
        <f>7.774+3.535</f>
        <v>11.309000000000001</v>
      </c>
      <c r="H95" s="101">
        <v>11.308999999999999</v>
      </c>
      <c r="I95" s="102">
        <f>115.303-4.576</f>
        <v>110.727</v>
      </c>
      <c r="J95" s="97">
        <v>110.727</v>
      </c>
      <c r="K95" s="184">
        <v>21.22</v>
      </c>
      <c r="L95" s="182">
        <v>14.41497</v>
      </c>
      <c r="M95" s="69"/>
      <c r="N95" s="179"/>
    </row>
    <row r="96" spans="1:14" x14ac:dyDescent="0.25">
      <c r="A96" s="60">
        <f t="shared" si="7"/>
        <v>89</v>
      </c>
      <c r="B96" s="96" t="s">
        <v>306</v>
      </c>
      <c r="C96" s="65">
        <f t="shared" si="8"/>
        <v>309.81799999999998</v>
      </c>
      <c r="D96" s="182">
        <f t="shared" si="9"/>
        <v>309.62952000000001</v>
      </c>
      <c r="E96" s="100">
        <f>233.314+2.092-13.5</f>
        <v>221.90600000000001</v>
      </c>
      <c r="F96" s="99">
        <v>221.71752000000001</v>
      </c>
      <c r="G96" s="67">
        <f>7.07+3.535+2.609+1.571+1.131</f>
        <v>15.916</v>
      </c>
      <c r="H96" s="101">
        <v>15.916</v>
      </c>
      <c r="I96" s="67">
        <f>65.303+0.183-0.99</f>
        <v>64.496000000000009</v>
      </c>
      <c r="J96" s="101">
        <v>64.495999999999995</v>
      </c>
      <c r="K96" s="184">
        <f>6+1.5</f>
        <v>7.5</v>
      </c>
      <c r="L96" s="182">
        <v>7.5</v>
      </c>
      <c r="M96" s="69"/>
      <c r="N96" s="179"/>
    </row>
    <row r="97" spans="1:16" x14ac:dyDescent="0.25">
      <c r="A97" s="60">
        <f t="shared" si="7"/>
        <v>90</v>
      </c>
      <c r="B97" s="96" t="s">
        <v>342</v>
      </c>
      <c r="C97" s="65">
        <f t="shared" si="8"/>
        <v>661.44399999999996</v>
      </c>
      <c r="D97" s="182">
        <f t="shared" si="9"/>
        <v>657.59166000000005</v>
      </c>
      <c r="E97" s="102">
        <f>676.972-40+3.472</f>
        <v>640.44399999999996</v>
      </c>
      <c r="F97" s="101">
        <v>640.23104000000001</v>
      </c>
      <c r="G97" s="184"/>
      <c r="H97" s="182"/>
      <c r="I97" s="86"/>
      <c r="J97" s="175"/>
      <c r="K97" s="67">
        <v>21</v>
      </c>
      <c r="L97" s="101">
        <v>17.360620000000001</v>
      </c>
      <c r="M97" s="69"/>
      <c r="N97" s="179"/>
    </row>
    <row r="98" spans="1:16" x14ac:dyDescent="0.25">
      <c r="A98" s="60">
        <f t="shared" si="7"/>
        <v>91</v>
      </c>
      <c r="B98" s="98" t="s">
        <v>263</v>
      </c>
      <c r="C98" s="65">
        <f t="shared" si="8"/>
        <v>1.381</v>
      </c>
      <c r="D98" s="182">
        <f t="shared" si="9"/>
        <v>0</v>
      </c>
      <c r="E98" s="100">
        <v>1.381</v>
      </c>
      <c r="F98" s="99">
        <v>0</v>
      </c>
      <c r="G98" s="184"/>
      <c r="H98" s="182"/>
      <c r="I98" s="100"/>
      <c r="J98" s="99"/>
      <c r="K98" s="223"/>
      <c r="L98" s="224"/>
      <c r="M98" s="69"/>
      <c r="N98" s="179"/>
    </row>
    <row r="99" spans="1:16" x14ac:dyDescent="0.25">
      <c r="A99" s="60">
        <f t="shared" si="7"/>
        <v>92</v>
      </c>
      <c r="B99" s="96" t="s">
        <v>265</v>
      </c>
      <c r="C99" s="65">
        <f t="shared" si="8"/>
        <v>4.17</v>
      </c>
      <c r="D99" s="182">
        <f t="shared" si="9"/>
        <v>4.17</v>
      </c>
      <c r="E99" s="100">
        <v>4.17</v>
      </c>
      <c r="F99" s="99">
        <v>4.17</v>
      </c>
      <c r="G99" s="104"/>
      <c r="H99" s="89"/>
      <c r="I99" s="100"/>
      <c r="J99" s="99"/>
      <c r="K99" s="184"/>
      <c r="L99" s="182"/>
      <c r="M99" s="69"/>
      <c r="N99" s="179"/>
    </row>
    <row r="100" spans="1:16" x14ac:dyDescent="0.25">
      <c r="A100" s="60">
        <f t="shared" si="7"/>
        <v>93</v>
      </c>
      <c r="B100" s="96" t="s">
        <v>266</v>
      </c>
      <c r="C100" s="65">
        <f t="shared" si="8"/>
        <v>14.785</v>
      </c>
      <c r="D100" s="182">
        <f t="shared" si="9"/>
        <v>14.785</v>
      </c>
      <c r="E100" s="100">
        <f>19.785-4-1</f>
        <v>14.785</v>
      </c>
      <c r="F100" s="99">
        <v>14.785</v>
      </c>
      <c r="G100" s="104"/>
      <c r="H100" s="89"/>
      <c r="I100" s="100"/>
      <c r="J100" s="99"/>
      <c r="K100" s="184"/>
      <c r="L100" s="182"/>
      <c r="M100" s="69"/>
      <c r="N100" s="179"/>
    </row>
    <row r="101" spans="1:16" x14ac:dyDescent="0.25">
      <c r="A101" s="60">
        <f t="shared" si="7"/>
        <v>94</v>
      </c>
      <c r="B101" s="96" t="s">
        <v>267</v>
      </c>
      <c r="C101" s="65">
        <f t="shared" si="8"/>
        <v>4.1970000000000001</v>
      </c>
      <c r="D101" s="182">
        <f t="shared" si="9"/>
        <v>4.1963699999999999</v>
      </c>
      <c r="E101" s="100">
        <v>4.1970000000000001</v>
      </c>
      <c r="F101" s="99">
        <v>4.1963699999999999</v>
      </c>
      <c r="G101" s="104"/>
      <c r="H101" s="89"/>
      <c r="I101" s="100"/>
      <c r="J101" s="99"/>
      <c r="K101" s="104"/>
      <c r="L101" s="89"/>
      <c r="M101" s="69"/>
      <c r="N101" s="179"/>
    </row>
    <row r="102" spans="1:16" x14ac:dyDescent="0.25">
      <c r="A102" s="60">
        <f t="shared" si="7"/>
        <v>95</v>
      </c>
      <c r="B102" s="96" t="s">
        <v>268</v>
      </c>
      <c r="C102" s="65">
        <f t="shared" si="8"/>
        <v>3.65</v>
      </c>
      <c r="D102" s="182">
        <f t="shared" si="9"/>
        <v>1.3750500000000001</v>
      </c>
      <c r="E102" s="100">
        <v>3.65</v>
      </c>
      <c r="F102" s="99">
        <v>1.3750500000000001</v>
      </c>
      <c r="G102" s="104"/>
      <c r="H102" s="89"/>
      <c r="I102" s="100"/>
      <c r="J102" s="99"/>
      <c r="K102" s="104"/>
      <c r="L102" s="89"/>
      <c r="M102" s="69"/>
      <c r="N102" s="179"/>
    </row>
    <row r="103" spans="1:16" ht="15.75" thickBot="1" x14ac:dyDescent="0.3">
      <c r="A103" s="78">
        <f t="shared" si="7"/>
        <v>96</v>
      </c>
      <c r="B103" s="96" t="s">
        <v>269</v>
      </c>
      <c r="C103" s="142">
        <f t="shared" si="8"/>
        <v>2.9569999999999999</v>
      </c>
      <c r="D103" s="198">
        <f t="shared" si="9"/>
        <v>2.9569999999999999</v>
      </c>
      <c r="E103" s="201">
        <v>2.9569999999999999</v>
      </c>
      <c r="F103" s="202">
        <v>2.9569999999999999</v>
      </c>
      <c r="G103" s="225"/>
      <c r="H103" s="226"/>
      <c r="I103" s="227"/>
      <c r="J103" s="228"/>
      <c r="K103" s="225"/>
      <c r="L103" s="226"/>
      <c r="M103" s="203"/>
      <c r="N103" s="204"/>
    </row>
    <row r="104" spans="1:16" ht="34.5" customHeight="1" thickBot="1" x14ac:dyDescent="0.3">
      <c r="A104" s="51">
        <f t="shared" si="7"/>
        <v>97</v>
      </c>
      <c r="B104" s="105" t="s">
        <v>343</v>
      </c>
      <c r="C104" s="283">
        <f t="shared" si="8"/>
        <v>4330.1297399999994</v>
      </c>
      <c r="D104" s="283">
        <f>F104+H104+J104+L104</f>
        <v>4189.9638000000004</v>
      </c>
      <c r="E104" s="229">
        <f>E105+E112+SUM(E126:E141)+E121</f>
        <v>3868.9657399999996</v>
      </c>
      <c r="F104" s="82">
        <f>F105+F112+F121+SUM(F126:F141)</f>
        <v>3843.2863100000004</v>
      </c>
      <c r="G104" s="170">
        <f>G128+G141</f>
        <v>33.564</v>
      </c>
      <c r="H104" s="170">
        <f>H128+H141</f>
        <v>33.564</v>
      </c>
      <c r="I104" s="230"/>
      <c r="J104" s="231"/>
      <c r="K104" s="170">
        <f>K105+SUM(K126:K141)</f>
        <v>427.6</v>
      </c>
      <c r="L104" s="232">
        <f>L105+SUM(L126:L141)</f>
        <v>313.11349000000001</v>
      </c>
      <c r="M104" s="233"/>
      <c r="N104" s="234"/>
      <c r="O104" s="141"/>
      <c r="P104" s="141"/>
    </row>
    <row r="105" spans="1:16" x14ac:dyDescent="0.25">
      <c r="A105" s="60">
        <f t="shared" si="7"/>
        <v>98</v>
      </c>
      <c r="B105" s="106" t="s">
        <v>344</v>
      </c>
      <c r="C105" s="284">
        <f t="shared" si="8"/>
        <v>114.71374</v>
      </c>
      <c r="D105" s="295">
        <f t="shared" si="9"/>
        <v>114.26374000000001</v>
      </c>
      <c r="E105" s="86">
        <f>SUM(E106:E111)</f>
        <v>114.71374</v>
      </c>
      <c r="F105" s="171">
        <f>SUM(F106:F111)</f>
        <v>114.26374000000001</v>
      </c>
      <c r="G105" s="205"/>
      <c r="H105" s="419"/>
      <c r="I105" s="86"/>
      <c r="J105" s="171"/>
      <c r="K105" s="205"/>
      <c r="L105" s="419"/>
      <c r="M105" s="205"/>
      <c r="N105" s="419"/>
    </row>
    <row r="106" spans="1:16" x14ac:dyDescent="0.25">
      <c r="A106" s="62">
        <f t="shared" si="7"/>
        <v>99</v>
      </c>
      <c r="B106" s="88" t="s">
        <v>227</v>
      </c>
      <c r="C106" s="185">
        <f t="shared" si="8"/>
        <v>35</v>
      </c>
      <c r="D106" s="285">
        <f t="shared" si="9"/>
        <v>35</v>
      </c>
      <c r="E106" s="95">
        <v>35</v>
      </c>
      <c r="F106" s="237">
        <v>35</v>
      </c>
      <c r="G106" s="235"/>
      <c r="H106" s="236"/>
      <c r="I106" s="189"/>
      <c r="J106" s="237"/>
      <c r="K106" s="235"/>
      <c r="L106" s="236"/>
      <c r="M106" s="69"/>
      <c r="N106" s="179"/>
    </row>
    <row r="107" spans="1:16" x14ac:dyDescent="0.25">
      <c r="A107" s="62">
        <f t="shared" si="7"/>
        <v>100</v>
      </c>
      <c r="B107" s="88" t="s">
        <v>228</v>
      </c>
      <c r="C107" s="185">
        <f t="shared" si="8"/>
        <v>4</v>
      </c>
      <c r="D107" s="285">
        <f t="shared" si="9"/>
        <v>4</v>
      </c>
      <c r="E107" s="95">
        <v>4</v>
      </c>
      <c r="F107" s="237">
        <v>4</v>
      </c>
      <c r="G107" s="235"/>
      <c r="H107" s="236"/>
      <c r="I107" s="189"/>
      <c r="J107" s="237"/>
      <c r="K107" s="235"/>
      <c r="L107" s="236"/>
      <c r="M107" s="69"/>
      <c r="N107" s="179"/>
    </row>
    <row r="108" spans="1:16" x14ac:dyDescent="0.25">
      <c r="A108" s="62">
        <f t="shared" si="7"/>
        <v>101</v>
      </c>
      <c r="B108" s="93" t="s">
        <v>240</v>
      </c>
      <c r="C108" s="185">
        <f t="shared" si="8"/>
        <v>22.2</v>
      </c>
      <c r="D108" s="285">
        <f t="shared" si="9"/>
        <v>22.2</v>
      </c>
      <c r="E108" s="95">
        <v>22.2</v>
      </c>
      <c r="F108" s="237">
        <v>22.2</v>
      </c>
      <c r="G108" s="235"/>
      <c r="H108" s="236"/>
      <c r="I108" s="189"/>
      <c r="J108" s="237"/>
      <c r="K108" s="235"/>
      <c r="L108" s="236"/>
      <c r="M108" s="69"/>
      <c r="N108" s="179"/>
    </row>
    <row r="109" spans="1:16" x14ac:dyDescent="0.25">
      <c r="A109" s="62">
        <f t="shared" si="7"/>
        <v>102</v>
      </c>
      <c r="B109" s="91" t="s">
        <v>241</v>
      </c>
      <c r="C109" s="185">
        <f t="shared" si="8"/>
        <v>20</v>
      </c>
      <c r="D109" s="285">
        <f t="shared" si="9"/>
        <v>19.95</v>
      </c>
      <c r="E109" s="95">
        <v>20</v>
      </c>
      <c r="F109" s="237">
        <v>19.95</v>
      </c>
      <c r="G109" s="235"/>
      <c r="H109" s="236"/>
      <c r="I109" s="189"/>
      <c r="J109" s="237"/>
      <c r="K109" s="235"/>
      <c r="L109" s="236"/>
      <c r="M109" s="69"/>
      <c r="N109" s="179"/>
    </row>
    <row r="110" spans="1:16" x14ac:dyDescent="0.25">
      <c r="A110" s="62">
        <f t="shared" si="7"/>
        <v>103</v>
      </c>
      <c r="B110" s="91" t="s">
        <v>242</v>
      </c>
      <c r="C110" s="185">
        <f t="shared" si="8"/>
        <v>4</v>
      </c>
      <c r="D110" s="285">
        <f t="shared" si="9"/>
        <v>4</v>
      </c>
      <c r="E110" s="95">
        <v>4</v>
      </c>
      <c r="F110" s="237">
        <v>4</v>
      </c>
      <c r="G110" s="235"/>
      <c r="H110" s="236"/>
      <c r="I110" s="189"/>
      <c r="J110" s="237"/>
      <c r="K110" s="235"/>
      <c r="L110" s="236"/>
      <c r="M110" s="69"/>
      <c r="N110" s="179"/>
    </row>
    <row r="111" spans="1:16" x14ac:dyDescent="0.25">
      <c r="A111" s="62">
        <f t="shared" si="7"/>
        <v>104</v>
      </c>
      <c r="B111" s="107" t="s">
        <v>243</v>
      </c>
      <c r="C111" s="185">
        <f t="shared" si="8"/>
        <v>29.513739999999999</v>
      </c>
      <c r="D111" s="285">
        <f t="shared" si="9"/>
        <v>29.11374</v>
      </c>
      <c r="E111" s="95">
        <f>34-4.48626</f>
        <v>29.513739999999999</v>
      </c>
      <c r="F111" s="237">
        <v>29.11374</v>
      </c>
      <c r="G111" s="235"/>
      <c r="H111" s="236"/>
      <c r="I111" s="189"/>
      <c r="J111" s="237"/>
      <c r="K111" s="235"/>
      <c r="L111" s="236"/>
      <c r="M111" s="69"/>
      <c r="N111" s="179"/>
    </row>
    <row r="112" spans="1:16" x14ac:dyDescent="0.25">
      <c r="A112" s="60">
        <f t="shared" si="7"/>
        <v>105</v>
      </c>
      <c r="B112" s="75" t="s">
        <v>324</v>
      </c>
      <c r="C112" s="284">
        <f t="shared" si="8"/>
        <v>227.96500000000003</v>
      </c>
      <c r="D112" s="296">
        <f t="shared" si="9"/>
        <v>226.31673999999998</v>
      </c>
      <c r="E112" s="102">
        <f>SUM(E113:E120)</f>
        <v>227.96500000000003</v>
      </c>
      <c r="F112" s="418">
        <f>SUM(F113:F120)</f>
        <v>226.31673999999998</v>
      </c>
      <c r="G112" s="67"/>
      <c r="H112" s="420"/>
      <c r="I112" s="102"/>
      <c r="J112" s="418"/>
      <c r="K112" s="67"/>
      <c r="L112" s="420"/>
      <c r="M112" s="67"/>
      <c r="N112" s="420"/>
    </row>
    <row r="113" spans="1:14" x14ac:dyDescent="0.25">
      <c r="A113" s="62">
        <f t="shared" si="7"/>
        <v>106</v>
      </c>
      <c r="B113" s="91" t="s">
        <v>247</v>
      </c>
      <c r="C113" s="185">
        <f t="shared" si="8"/>
        <v>15.865000000000002</v>
      </c>
      <c r="D113" s="285">
        <f t="shared" si="9"/>
        <v>15.542619999999999</v>
      </c>
      <c r="E113" s="95">
        <f>16+2.865-3</f>
        <v>15.865000000000002</v>
      </c>
      <c r="F113" s="90">
        <v>15.542619999999999</v>
      </c>
      <c r="G113" s="104"/>
      <c r="H113" s="89"/>
      <c r="I113" s="116"/>
      <c r="J113" s="90"/>
      <c r="K113" s="104"/>
      <c r="L113" s="89"/>
      <c r="M113" s="69"/>
      <c r="N113" s="179"/>
    </row>
    <row r="114" spans="1:14" x14ac:dyDescent="0.25">
      <c r="A114" s="62">
        <f t="shared" si="7"/>
        <v>107</v>
      </c>
      <c r="B114" s="91" t="s">
        <v>248</v>
      </c>
      <c r="C114" s="185">
        <f t="shared" si="8"/>
        <v>65</v>
      </c>
      <c r="D114" s="285">
        <f t="shared" si="9"/>
        <v>65</v>
      </c>
      <c r="E114" s="95">
        <v>65</v>
      </c>
      <c r="F114" s="90">
        <v>65</v>
      </c>
      <c r="G114" s="104"/>
      <c r="H114" s="89"/>
      <c r="I114" s="116"/>
      <c r="J114" s="90"/>
      <c r="K114" s="104"/>
      <c r="L114" s="89"/>
      <c r="M114" s="69"/>
      <c r="N114" s="179"/>
    </row>
    <row r="115" spans="1:14" x14ac:dyDescent="0.25">
      <c r="A115" s="62">
        <f t="shared" si="7"/>
        <v>108</v>
      </c>
      <c r="B115" s="91" t="s">
        <v>345</v>
      </c>
      <c r="C115" s="185">
        <f t="shared" si="8"/>
        <v>16</v>
      </c>
      <c r="D115" s="285">
        <f t="shared" si="9"/>
        <v>16</v>
      </c>
      <c r="E115" s="95">
        <v>16</v>
      </c>
      <c r="F115" s="90">
        <v>16</v>
      </c>
      <c r="G115" s="104"/>
      <c r="H115" s="89"/>
      <c r="I115" s="116"/>
      <c r="J115" s="90"/>
      <c r="K115" s="104"/>
      <c r="L115" s="89"/>
      <c r="M115" s="69"/>
      <c r="N115" s="179"/>
    </row>
    <row r="116" spans="1:14" x14ac:dyDescent="0.25">
      <c r="A116" s="62">
        <f t="shared" si="7"/>
        <v>109</v>
      </c>
      <c r="B116" s="91" t="s">
        <v>249</v>
      </c>
      <c r="C116" s="185">
        <f t="shared" si="8"/>
        <v>41.8</v>
      </c>
      <c r="D116" s="285">
        <f t="shared" si="9"/>
        <v>40.474699999999999</v>
      </c>
      <c r="E116" s="95">
        <f>45-3.2</f>
        <v>41.8</v>
      </c>
      <c r="F116" s="90">
        <v>40.474699999999999</v>
      </c>
      <c r="G116" s="104"/>
      <c r="H116" s="89"/>
      <c r="I116" s="116"/>
      <c r="J116" s="90"/>
      <c r="K116" s="104"/>
      <c r="L116" s="89"/>
      <c r="M116" s="69"/>
      <c r="N116" s="179"/>
    </row>
    <row r="117" spans="1:14" ht="26.25" x14ac:dyDescent="0.25">
      <c r="A117" s="62">
        <f t="shared" si="7"/>
        <v>110</v>
      </c>
      <c r="B117" s="91" t="s">
        <v>250</v>
      </c>
      <c r="C117" s="185">
        <f t="shared" si="8"/>
        <v>15</v>
      </c>
      <c r="D117" s="285">
        <f t="shared" si="9"/>
        <v>15</v>
      </c>
      <c r="E117" s="95">
        <v>15</v>
      </c>
      <c r="F117" s="90">
        <v>15</v>
      </c>
      <c r="G117" s="104"/>
      <c r="H117" s="89"/>
      <c r="I117" s="116"/>
      <c r="J117" s="90"/>
      <c r="K117" s="104"/>
      <c r="L117" s="89"/>
      <c r="M117" s="69"/>
      <c r="N117" s="179"/>
    </row>
    <row r="118" spans="1:14" x14ac:dyDescent="0.25">
      <c r="A118" s="62">
        <f t="shared" si="7"/>
        <v>111</v>
      </c>
      <c r="B118" s="91" t="s">
        <v>251</v>
      </c>
      <c r="C118" s="185">
        <f t="shared" si="8"/>
        <v>20</v>
      </c>
      <c r="D118" s="285">
        <f t="shared" si="9"/>
        <v>20</v>
      </c>
      <c r="E118" s="95">
        <v>20</v>
      </c>
      <c r="F118" s="90">
        <v>20</v>
      </c>
      <c r="G118" s="104"/>
      <c r="H118" s="89"/>
      <c r="I118" s="116"/>
      <c r="J118" s="90"/>
      <c r="K118" s="104"/>
      <c r="L118" s="89"/>
      <c r="M118" s="69"/>
      <c r="N118" s="179"/>
    </row>
    <row r="119" spans="1:14" x14ac:dyDescent="0.25">
      <c r="A119" s="62">
        <f t="shared" si="7"/>
        <v>112</v>
      </c>
      <c r="B119" s="91" t="s">
        <v>252</v>
      </c>
      <c r="C119" s="185">
        <f t="shared" si="8"/>
        <v>11</v>
      </c>
      <c r="D119" s="285">
        <f t="shared" si="9"/>
        <v>10.999420000000001</v>
      </c>
      <c r="E119" s="95">
        <v>11</v>
      </c>
      <c r="F119" s="90">
        <v>10.999420000000001</v>
      </c>
      <c r="G119" s="104"/>
      <c r="H119" s="89"/>
      <c r="I119" s="116"/>
      <c r="J119" s="90"/>
      <c r="K119" s="104"/>
      <c r="L119" s="89"/>
      <c r="M119" s="69"/>
      <c r="N119" s="179"/>
    </row>
    <row r="120" spans="1:14" x14ac:dyDescent="0.25">
      <c r="A120" s="62">
        <f t="shared" si="7"/>
        <v>113</v>
      </c>
      <c r="B120" s="91" t="s">
        <v>253</v>
      </c>
      <c r="C120" s="185">
        <f t="shared" si="8"/>
        <v>43.3</v>
      </c>
      <c r="D120" s="285">
        <f t="shared" si="9"/>
        <v>43.3</v>
      </c>
      <c r="E120" s="95">
        <f>86.6-43.3</f>
        <v>43.3</v>
      </c>
      <c r="F120" s="90">
        <v>43.3</v>
      </c>
      <c r="G120" s="104"/>
      <c r="H120" s="89"/>
      <c r="I120" s="116"/>
      <c r="J120" s="90"/>
      <c r="K120" s="104"/>
      <c r="L120" s="89"/>
      <c r="M120" s="69"/>
      <c r="N120" s="179"/>
    </row>
    <row r="121" spans="1:14" x14ac:dyDescent="0.25">
      <c r="A121" s="60">
        <f t="shared" si="7"/>
        <v>114</v>
      </c>
      <c r="B121" s="98" t="s">
        <v>346</v>
      </c>
      <c r="C121" s="284">
        <f t="shared" si="8"/>
        <v>22</v>
      </c>
      <c r="D121" s="296">
        <f t="shared" si="9"/>
        <v>21.952999999999999</v>
      </c>
      <c r="E121" s="102">
        <f>E122</f>
        <v>22</v>
      </c>
      <c r="F121" s="418">
        <f>F122</f>
        <v>21.952999999999999</v>
      </c>
      <c r="G121" s="67"/>
      <c r="H121" s="420"/>
      <c r="I121" s="102"/>
      <c r="J121" s="418"/>
      <c r="K121" s="67"/>
      <c r="L121" s="420"/>
      <c r="M121" s="67"/>
      <c r="N121" s="420"/>
    </row>
    <row r="122" spans="1:14" x14ac:dyDescent="0.25">
      <c r="A122" s="62">
        <f t="shared" si="7"/>
        <v>115</v>
      </c>
      <c r="B122" s="91" t="s">
        <v>212</v>
      </c>
      <c r="C122" s="185">
        <f t="shared" si="8"/>
        <v>22</v>
      </c>
      <c r="D122" s="285">
        <f t="shared" si="9"/>
        <v>21.952999999999999</v>
      </c>
      <c r="E122" s="95">
        <f>E123+E124+E125</f>
        <v>22</v>
      </c>
      <c r="F122" s="259">
        <v>21.952999999999999</v>
      </c>
      <c r="G122" s="104"/>
      <c r="H122" s="89"/>
      <c r="I122" s="116"/>
      <c r="J122" s="90"/>
      <c r="K122" s="104"/>
      <c r="L122" s="89"/>
      <c r="M122" s="69"/>
      <c r="N122" s="179"/>
    </row>
    <row r="123" spans="1:14" ht="26.25" x14ac:dyDescent="0.25">
      <c r="A123" s="62">
        <f t="shared" si="7"/>
        <v>116</v>
      </c>
      <c r="B123" s="91" t="s">
        <v>213</v>
      </c>
      <c r="C123" s="185">
        <f t="shared" si="8"/>
        <v>5</v>
      </c>
      <c r="D123" s="285">
        <f t="shared" si="9"/>
        <v>5</v>
      </c>
      <c r="E123" s="95">
        <v>5</v>
      </c>
      <c r="F123" s="259">
        <v>5</v>
      </c>
      <c r="G123" s="104"/>
      <c r="H123" s="89"/>
      <c r="I123" s="116"/>
      <c r="J123" s="90"/>
      <c r="K123" s="104"/>
      <c r="L123" s="89"/>
      <c r="M123" s="69"/>
      <c r="N123" s="179"/>
    </row>
    <row r="124" spans="1:14" ht="26.25" x14ac:dyDescent="0.25">
      <c r="A124" s="62">
        <f t="shared" si="7"/>
        <v>117</v>
      </c>
      <c r="B124" s="91" t="s">
        <v>214</v>
      </c>
      <c r="C124" s="185">
        <f t="shared" si="8"/>
        <v>15.5</v>
      </c>
      <c r="D124" s="285">
        <f t="shared" si="9"/>
        <v>15.452999999999999</v>
      </c>
      <c r="E124" s="95">
        <v>15.5</v>
      </c>
      <c r="F124" s="259">
        <v>15.452999999999999</v>
      </c>
      <c r="G124" s="104"/>
      <c r="H124" s="89"/>
      <c r="I124" s="116"/>
      <c r="J124" s="90"/>
      <c r="K124" s="104"/>
      <c r="L124" s="89"/>
      <c r="M124" s="69"/>
      <c r="N124" s="179"/>
    </row>
    <row r="125" spans="1:14" ht="26.25" x14ac:dyDescent="0.25">
      <c r="A125" s="62">
        <f t="shared" si="7"/>
        <v>118</v>
      </c>
      <c r="B125" s="91" t="s">
        <v>215</v>
      </c>
      <c r="C125" s="185">
        <f t="shared" si="8"/>
        <v>1.5</v>
      </c>
      <c r="D125" s="285">
        <f t="shared" si="9"/>
        <v>1.5</v>
      </c>
      <c r="E125" s="95">
        <v>1.5</v>
      </c>
      <c r="F125" s="259">
        <v>1.5</v>
      </c>
      <c r="G125" s="104"/>
      <c r="H125" s="89"/>
      <c r="I125" s="116"/>
      <c r="J125" s="90"/>
      <c r="K125" s="104"/>
      <c r="L125" s="89"/>
      <c r="M125" s="69"/>
      <c r="N125" s="179"/>
    </row>
    <row r="126" spans="1:14" x14ac:dyDescent="0.25">
      <c r="A126" s="60">
        <f t="shared" si="7"/>
        <v>119</v>
      </c>
      <c r="B126" s="84" t="s">
        <v>256</v>
      </c>
      <c r="C126" s="284">
        <f t="shared" si="8"/>
        <v>795.73099999999999</v>
      </c>
      <c r="D126" s="296">
        <f t="shared" si="9"/>
        <v>766.45137999999997</v>
      </c>
      <c r="E126" s="102">
        <v>734.93100000000004</v>
      </c>
      <c r="F126" s="99">
        <v>716.90369999999996</v>
      </c>
      <c r="G126" s="104"/>
      <c r="H126" s="89"/>
      <c r="I126" s="116"/>
      <c r="J126" s="90"/>
      <c r="K126" s="184">
        <f>45.8+15</f>
        <v>60.8</v>
      </c>
      <c r="L126" s="182">
        <v>49.54768</v>
      </c>
      <c r="M126" s="69"/>
      <c r="N126" s="179"/>
    </row>
    <row r="127" spans="1:14" x14ac:dyDescent="0.25">
      <c r="A127" s="60">
        <f t="shared" si="7"/>
        <v>120</v>
      </c>
      <c r="B127" s="96" t="s">
        <v>257</v>
      </c>
      <c r="C127" s="284">
        <f t="shared" si="8"/>
        <v>888.30100000000004</v>
      </c>
      <c r="D127" s="296">
        <f t="shared" si="9"/>
        <v>888.30100000000004</v>
      </c>
      <c r="E127" s="102">
        <v>828.30100000000004</v>
      </c>
      <c r="F127" s="99">
        <v>828.30100000000004</v>
      </c>
      <c r="G127" s="104"/>
      <c r="H127" s="89"/>
      <c r="I127" s="116"/>
      <c r="J127" s="90"/>
      <c r="K127" s="184">
        <f>55+5</f>
        <v>60</v>
      </c>
      <c r="L127" s="182">
        <v>60</v>
      </c>
      <c r="M127" s="69"/>
      <c r="N127" s="179"/>
    </row>
    <row r="128" spans="1:14" x14ac:dyDescent="0.25">
      <c r="A128" s="60">
        <f t="shared" si="7"/>
        <v>121</v>
      </c>
      <c r="B128" s="96" t="s">
        <v>258</v>
      </c>
      <c r="C128" s="284">
        <f t="shared" si="8"/>
        <v>1161.3230000000001</v>
      </c>
      <c r="D128" s="296">
        <f t="shared" si="9"/>
        <v>1161.1482700000001</v>
      </c>
      <c r="E128" s="100">
        <v>1123.9590000000001</v>
      </c>
      <c r="F128" s="99">
        <v>1123.7842700000001</v>
      </c>
      <c r="G128" s="184">
        <v>33.564</v>
      </c>
      <c r="H128" s="182">
        <v>33.564</v>
      </c>
      <c r="I128" s="116"/>
      <c r="J128" s="90"/>
      <c r="K128" s="184">
        <v>3.8</v>
      </c>
      <c r="L128" s="182">
        <v>3.8</v>
      </c>
      <c r="M128" s="69"/>
      <c r="N128" s="179"/>
    </row>
    <row r="129" spans="1:16" x14ac:dyDescent="0.25">
      <c r="A129" s="60">
        <f t="shared" si="7"/>
        <v>122</v>
      </c>
      <c r="B129" s="96" t="s">
        <v>342</v>
      </c>
      <c r="C129" s="284">
        <f t="shared" si="8"/>
        <v>12.5</v>
      </c>
      <c r="D129" s="296">
        <f t="shared" si="9"/>
        <v>12.5</v>
      </c>
      <c r="E129" s="100">
        <v>12.5</v>
      </c>
      <c r="F129" s="99">
        <v>12.5</v>
      </c>
      <c r="G129" s="104"/>
      <c r="H129" s="89"/>
      <c r="I129" s="100"/>
      <c r="J129" s="99"/>
      <c r="K129" s="184"/>
      <c r="L129" s="182"/>
      <c r="M129" s="69"/>
      <c r="N129" s="179"/>
    </row>
    <row r="130" spans="1:16" x14ac:dyDescent="0.25">
      <c r="A130" s="60">
        <f t="shared" si="7"/>
        <v>123</v>
      </c>
      <c r="B130" s="108" t="s">
        <v>262</v>
      </c>
      <c r="C130" s="284">
        <f t="shared" si="8"/>
        <v>644.33500000000004</v>
      </c>
      <c r="D130" s="296">
        <f t="shared" si="9"/>
        <v>541.88819000000001</v>
      </c>
      <c r="E130" s="100">
        <v>344.33499999999998</v>
      </c>
      <c r="F130" s="99">
        <v>344.13157999999999</v>
      </c>
      <c r="G130" s="104"/>
      <c r="H130" s="89"/>
      <c r="I130" s="116"/>
      <c r="J130" s="90"/>
      <c r="K130" s="184">
        <f>200+100</f>
        <v>300</v>
      </c>
      <c r="L130" s="182">
        <v>197.75660999999999</v>
      </c>
      <c r="M130" s="69"/>
      <c r="N130" s="179"/>
    </row>
    <row r="131" spans="1:16" x14ac:dyDescent="0.25">
      <c r="A131" s="60">
        <f t="shared" si="7"/>
        <v>124</v>
      </c>
      <c r="B131" s="98" t="s">
        <v>263</v>
      </c>
      <c r="C131" s="284">
        <f t="shared" si="8"/>
        <v>95.884</v>
      </c>
      <c r="D131" s="296">
        <f t="shared" si="9"/>
        <v>93.267780000000002</v>
      </c>
      <c r="E131" s="100">
        <v>95.884</v>
      </c>
      <c r="F131" s="99">
        <v>93.267780000000002</v>
      </c>
      <c r="G131" s="104"/>
      <c r="H131" s="89"/>
      <c r="I131" s="116"/>
      <c r="J131" s="90"/>
      <c r="K131" s="184"/>
      <c r="L131" s="182"/>
      <c r="M131" s="69"/>
      <c r="N131" s="179"/>
    </row>
    <row r="132" spans="1:16" x14ac:dyDescent="0.25">
      <c r="A132" s="60">
        <f t="shared" si="7"/>
        <v>125</v>
      </c>
      <c r="B132" s="106" t="s">
        <v>264</v>
      </c>
      <c r="C132" s="284">
        <f t="shared" si="8"/>
        <v>67.900000000000006</v>
      </c>
      <c r="D132" s="296">
        <f t="shared" si="9"/>
        <v>65.992580000000004</v>
      </c>
      <c r="E132" s="102">
        <v>67.900000000000006</v>
      </c>
      <c r="F132" s="99">
        <v>65.992580000000004</v>
      </c>
      <c r="G132" s="104"/>
      <c r="H132" s="89"/>
      <c r="I132" s="116"/>
      <c r="J132" s="90"/>
      <c r="K132" s="184"/>
      <c r="L132" s="182"/>
      <c r="M132" s="69"/>
      <c r="N132" s="179"/>
    </row>
    <row r="133" spans="1:16" x14ac:dyDescent="0.25">
      <c r="A133" s="60">
        <f t="shared" si="7"/>
        <v>126</v>
      </c>
      <c r="B133" s="96" t="s">
        <v>265</v>
      </c>
      <c r="C133" s="284">
        <f t="shared" si="8"/>
        <v>23.045000000000002</v>
      </c>
      <c r="D133" s="296">
        <f t="shared" si="9"/>
        <v>23.045000000000002</v>
      </c>
      <c r="E133" s="100">
        <f>33.045-6-4</f>
        <v>23.045000000000002</v>
      </c>
      <c r="F133" s="99">
        <v>23.045000000000002</v>
      </c>
      <c r="G133" s="104"/>
      <c r="H133" s="89"/>
      <c r="I133" s="116"/>
      <c r="J133" s="90"/>
      <c r="K133" s="184"/>
      <c r="L133" s="182"/>
      <c r="M133" s="69"/>
      <c r="N133" s="179"/>
    </row>
    <row r="134" spans="1:16" x14ac:dyDescent="0.25">
      <c r="A134" s="60">
        <f t="shared" si="7"/>
        <v>127</v>
      </c>
      <c r="B134" s="96" t="s">
        <v>266</v>
      </c>
      <c r="C134" s="284">
        <f t="shared" si="8"/>
        <v>19.268999999999998</v>
      </c>
      <c r="D134" s="296">
        <f t="shared" si="9"/>
        <v>19.268999999999998</v>
      </c>
      <c r="E134" s="100">
        <f>6.805+30.464-18</f>
        <v>19.268999999999998</v>
      </c>
      <c r="F134" s="99">
        <v>19.268999999999998</v>
      </c>
      <c r="G134" s="104"/>
      <c r="H134" s="89"/>
      <c r="I134" s="116"/>
      <c r="J134" s="90"/>
      <c r="K134" s="184"/>
      <c r="L134" s="89"/>
      <c r="M134" s="69"/>
      <c r="N134" s="179"/>
    </row>
    <row r="135" spans="1:16" x14ac:dyDescent="0.25">
      <c r="A135" s="60">
        <f t="shared" si="7"/>
        <v>128</v>
      </c>
      <c r="B135" s="96" t="s">
        <v>267</v>
      </c>
      <c r="C135" s="284">
        <f t="shared" si="8"/>
        <v>18.673999999999999</v>
      </c>
      <c r="D135" s="296">
        <f t="shared" si="9"/>
        <v>18.673999999999999</v>
      </c>
      <c r="E135" s="100">
        <v>18.673999999999999</v>
      </c>
      <c r="F135" s="99">
        <v>18.673999999999999</v>
      </c>
      <c r="G135" s="104"/>
      <c r="H135" s="89"/>
      <c r="I135" s="116"/>
      <c r="J135" s="90"/>
      <c r="K135" s="184"/>
      <c r="L135" s="89"/>
      <c r="M135" s="69"/>
      <c r="N135" s="179"/>
    </row>
    <row r="136" spans="1:16" x14ac:dyDescent="0.25">
      <c r="A136" s="60">
        <f t="shared" si="7"/>
        <v>129</v>
      </c>
      <c r="B136" s="96" t="s">
        <v>268</v>
      </c>
      <c r="C136" s="284">
        <f t="shared" si="8"/>
        <v>1.54</v>
      </c>
      <c r="D136" s="296">
        <f t="shared" si="9"/>
        <v>1.1702300000000001</v>
      </c>
      <c r="E136" s="100">
        <f>3.54-2</f>
        <v>1.54</v>
      </c>
      <c r="F136" s="99">
        <v>1.1702300000000001</v>
      </c>
      <c r="G136" s="104"/>
      <c r="H136" s="89"/>
      <c r="I136" s="116"/>
      <c r="J136" s="90"/>
      <c r="K136" s="184"/>
      <c r="L136" s="89"/>
      <c r="M136" s="69"/>
      <c r="N136" s="179"/>
    </row>
    <row r="137" spans="1:16" x14ac:dyDescent="0.25">
      <c r="A137" s="60">
        <f t="shared" si="7"/>
        <v>130</v>
      </c>
      <c r="B137" s="96" t="s">
        <v>270</v>
      </c>
      <c r="C137" s="284">
        <f t="shared" si="8"/>
        <v>14.988</v>
      </c>
      <c r="D137" s="296">
        <f t="shared" si="9"/>
        <v>14.96946</v>
      </c>
      <c r="E137" s="100">
        <f>20.488-5.5</f>
        <v>14.988</v>
      </c>
      <c r="F137" s="99">
        <v>14.96946</v>
      </c>
      <c r="G137" s="104"/>
      <c r="H137" s="89"/>
      <c r="I137" s="116"/>
      <c r="J137" s="90"/>
      <c r="K137" s="184"/>
      <c r="L137" s="182"/>
      <c r="M137" s="69"/>
      <c r="N137" s="179"/>
    </row>
    <row r="138" spans="1:16" x14ac:dyDescent="0.25">
      <c r="A138" s="60">
        <f t="shared" ref="A138:A201" si="10">A137+1</f>
        <v>131</v>
      </c>
      <c r="B138" s="96" t="s">
        <v>326</v>
      </c>
      <c r="C138" s="284">
        <f t="shared" ref="C138:C201" si="11">E138+G138+I138+K138+M138</f>
        <v>5.0390000000000015</v>
      </c>
      <c r="D138" s="296">
        <f t="shared" si="9"/>
        <v>5.0229600000000003</v>
      </c>
      <c r="E138" s="100">
        <f>23.039-18</f>
        <v>5.0390000000000015</v>
      </c>
      <c r="F138" s="99">
        <v>5.0229600000000003</v>
      </c>
      <c r="G138" s="104"/>
      <c r="H138" s="89"/>
      <c r="I138" s="116"/>
      <c r="J138" s="90"/>
      <c r="K138" s="184"/>
      <c r="L138" s="89"/>
      <c r="M138" s="69"/>
      <c r="N138" s="179"/>
    </row>
    <row r="139" spans="1:16" x14ac:dyDescent="0.25">
      <c r="A139" s="60">
        <f t="shared" si="10"/>
        <v>132</v>
      </c>
      <c r="B139" s="96" t="s">
        <v>273</v>
      </c>
      <c r="C139" s="284">
        <f t="shared" si="11"/>
        <v>12.553000000000001</v>
      </c>
      <c r="D139" s="296">
        <f t="shared" si="9"/>
        <v>12.552379999999999</v>
      </c>
      <c r="E139" s="100">
        <f>11.103+2.2-0.75</f>
        <v>12.553000000000001</v>
      </c>
      <c r="F139" s="99">
        <v>12.552379999999999</v>
      </c>
      <c r="G139" s="104"/>
      <c r="H139" s="89"/>
      <c r="I139" s="116"/>
      <c r="J139" s="90"/>
      <c r="K139" s="184"/>
      <c r="L139" s="89"/>
      <c r="M139" s="69"/>
      <c r="N139" s="179"/>
    </row>
    <row r="140" spans="1:16" x14ac:dyDescent="0.25">
      <c r="A140" s="60">
        <f t="shared" si="10"/>
        <v>133</v>
      </c>
      <c r="B140" s="96" t="s">
        <v>305</v>
      </c>
      <c r="C140" s="284">
        <f t="shared" si="11"/>
        <v>110.371</v>
      </c>
      <c r="D140" s="296">
        <f t="shared" si="9"/>
        <v>109.2526</v>
      </c>
      <c r="E140" s="100">
        <f>119.071-2.7-7-2</f>
        <v>107.371</v>
      </c>
      <c r="F140" s="99">
        <v>107.24339999999999</v>
      </c>
      <c r="G140" s="104"/>
      <c r="H140" s="89"/>
      <c r="I140" s="116"/>
      <c r="J140" s="90"/>
      <c r="K140" s="184">
        <v>3</v>
      </c>
      <c r="L140" s="182">
        <v>2.0091999999999999</v>
      </c>
      <c r="M140" s="69"/>
      <c r="N140" s="179"/>
    </row>
    <row r="141" spans="1:16" ht="15.75" thickBot="1" x14ac:dyDescent="0.3">
      <c r="A141" s="78">
        <f t="shared" si="10"/>
        <v>134</v>
      </c>
      <c r="B141" s="109" t="s">
        <v>306</v>
      </c>
      <c r="C141" s="223">
        <f t="shared" si="11"/>
        <v>93.99799999999999</v>
      </c>
      <c r="D141" s="297">
        <f t="shared" ref="D141:D203" si="12">F141+H141+J141+L141</f>
        <v>93.925489999999996</v>
      </c>
      <c r="E141" s="201">
        <f>98.898-4.9</f>
        <v>93.99799999999999</v>
      </c>
      <c r="F141" s="202">
        <v>93.925489999999996</v>
      </c>
      <c r="G141" s="196"/>
      <c r="H141" s="226"/>
      <c r="I141" s="186"/>
      <c r="J141" s="216"/>
      <c r="K141" s="181"/>
      <c r="L141" s="198"/>
      <c r="M141" s="281"/>
      <c r="N141" s="282"/>
    </row>
    <row r="142" spans="1:16" ht="31.5" customHeight="1" thickBot="1" x14ac:dyDescent="0.3">
      <c r="A142" s="51">
        <f t="shared" si="10"/>
        <v>135</v>
      </c>
      <c r="B142" s="110" t="s">
        <v>347</v>
      </c>
      <c r="C142" s="283">
        <f t="shared" si="11"/>
        <v>13540.603570000001</v>
      </c>
      <c r="D142" s="283">
        <f>F142+H142+J142+L142+N142</f>
        <v>13407.41208</v>
      </c>
      <c r="E142" s="81">
        <f>E143+SUM(E170:E182)+E184+E188</f>
        <v>6880.8353099999995</v>
      </c>
      <c r="F142" s="82">
        <f>F143+SUM(F170:F182)+F184+F188</f>
        <v>6870.4747200000002</v>
      </c>
      <c r="G142" s="81">
        <f>G143+SUM(G170:G182)+G184+G188</f>
        <v>5936.5192000000006</v>
      </c>
      <c r="H142" s="82">
        <f>H143+SUM(H170:H182)+H184+H188</f>
        <v>5857.9966400000003</v>
      </c>
      <c r="I142" s="81"/>
      <c r="J142" s="111"/>
      <c r="K142" s="81">
        <f>K143+SUM(K170:K182)+K184+K188</f>
        <v>606.64499999999998</v>
      </c>
      <c r="L142" s="82">
        <f>L143+SUM(L170:L182)+L184+L188</f>
        <v>562.33680000000004</v>
      </c>
      <c r="M142" s="232">
        <f t="shared" ref="M142:N142" si="13">M143+SUM(M170:M182)+M184+M188</f>
        <v>116.60406</v>
      </c>
      <c r="N142" s="283">
        <f t="shared" si="13"/>
        <v>116.60392</v>
      </c>
      <c r="O142" s="141"/>
      <c r="P142" s="141"/>
    </row>
    <row r="143" spans="1:16" x14ac:dyDescent="0.25">
      <c r="A143" s="60">
        <f t="shared" si="10"/>
        <v>136</v>
      </c>
      <c r="B143" s="112" t="s">
        <v>348</v>
      </c>
      <c r="C143" s="284">
        <f t="shared" si="11"/>
        <v>8615.4824800000006</v>
      </c>
      <c r="D143" s="298">
        <f t="shared" si="12"/>
        <v>8554.0098199999993</v>
      </c>
      <c r="E143" s="113">
        <f>SUM(E144:E169)</f>
        <v>4067.92328</v>
      </c>
      <c r="F143" s="238">
        <f>SUM(F144:F169)</f>
        <v>4067.3437299999996</v>
      </c>
      <c r="G143" s="114">
        <f>SUM(G144:G169)</f>
        <v>4547.5592000000006</v>
      </c>
      <c r="H143" s="238">
        <f>SUM(H144:H169)</f>
        <v>4486.6660900000006</v>
      </c>
      <c r="I143" s="239"/>
      <c r="J143" s="241"/>
      <c r="K143" s="239"/>
      <c r="L143" s="240"/>
      <c r="M143" s="218"/>
      <c r="N143" s="177"/>
    </row>
    <row r="144" spans="1:16" x14ac:dyDescent="0.25">
      <c r="A144" s="62">
        <f t="shared" si="10"/>
        <v>137</v>
      </c>
      <c r="B144" s="115" t="s">
        <v>155</v>
      </c>
      <c r="C144" s="185">
        <f t="shared" si="11"/>
        <v>1831.431</v>
      </c>
      <c r="D144" s="291">
        <f t="shared" si="12"/>
        <v>1831.1349</v>
      </c>
      <c r="E144" s="95">
        <f>960+9.781</f>
        <v>969.78099999999995</v>
      </c>
      <c r="F144" s="237">
        <v>969.48490000000004</v>
      </c>
      <c r="G144" s="69">
        <f>1337.409+330-805.759</f>
        <v>861.65000000000009</v>
      </c>
      <c r="H144" s="177">
        <v>861.65</v>
      </c>
      <c r="I144" s="235"/>
      <c r="J144" s="237"/>
      <c r="K144" s="235"/>
      <c r="L144" s="236"/>
      <c r="M144" s="95"/>
      <c r="N144" s="179"/>
    </row>
    <row r="145" spans="1:14" x14ac:dyDescent="0.25">
      <c r="A145" s="62">
        <f t="shared" si="10"/>
        <v>138</v>
      </c>
      <c r="B145" s="63" t="s">
        <v>156</v>
      </c>
      <c r="C145" s="185">
        <f t="shared" si="11"/>
        <v>70</v>
      </c>
      <c r="D145" s="291">
        <f t="shared" si="12"/>
        <v>70</v>
      </c>
      <c r="E145" s="95">
        <v>70</v>
      </c>
      <c r="F145" s="90">
        <v>70</v>
      </c>
      <c r="G145" s="235"/>
      <c r="H145" s="236"/>
      <c r="I145" s="104"/>
      <c r="J145" s="90"/>
      <c r="K145" s="104"/>
      <c r="L145" s="89"/>
      <c r="M145" s="95"/>
      <c r="N145" s="179"/>
    </row>
    <row r="146" spans="1:14" x14ac:dyDescent="0.25">
      <c r="A146" s="62">
        <f t="shared" si="10"/>
        <v>139</v>
      </c>
      <c r="B146" s="63" t="s">
        <v>157</v>
      </c>
      <c r="C146" s="185">
        <f t="shared" si="11"/>
        <v>119.89400000000001</v>
      </c>
      <c r="D146" s="291">
        <f t="shared" si="12"/>
        <v>119.89377</v>
      </c>
      <c r="E146" s="116">
        <f>84+40-4.106</f>
        <v>119.89400000000001</v>
      </c>
      <c r="F146" s="90">
        <v>119.89377</v>
      </c>
      <c r="G146" s="104"/>
      <c r="H146" s="89"/>
      <c r="I146" s="104"/>
      <c r="J146" s="90"/>
      <c r="K146" s="104"/>
      <c r="L146" s="89"/>
      <c r="M146" s="95"/>
      <c r="N146" s="179"/>
    </row>
    <row r="147" spans="1:14" x14ac:dyDescent="0.25">
      <c r="A147" s="62">
        <f t="shared" si="10"/>
        <v>140</v>
      </c>
      <c r="B147" s="63" t="s">
        <v>158</v>
      </c>
      <c r="C147" s="185">
        <f t="shared" si="11"/>
        <v>17.943999999999999</v>
      </c>
      <c r="D147" s="291">
        <f t="shared" si="12"/>
        <v>17.943950000000001</v>
      </c>
      <c r="E147" s="116">
        <f>10+7.944</f>
        <v>17.943999999999999</v>
      </c>
      <c r="F147" s="90">
        <v>17.943950000000001</v>
      </c>
      <c r="G147" s="104"/>
      <c r="H147" s="89"/>
      <c r="I147" s="104"/>
      <c r="J147" s="90"/>
      <c r="K147" s="104"/>
      <c r="L147" s="89"/>
      <c r="M147" s="95"/>
      <c r="N147" s="179"/>
    </row>
    <row r="148" spans="1:14" x14ac:dyDescent="0.25">
      <c r="A148" s="62">
        <f t="shared" si="10"/>
        <v>141</v>
      </c>
      <c r="B148" s="70" t="s">
        <v>159</v>
      </c>
      <c r="C148" s="185">
        <f t="shared" si="11"/>
        <v>100.00667</v>
      </c>
      <c r="D148" s="291">
        <f t="shared" si="12"/>
        <v>95.576930000000004</v>
      </c>
      <c r="E148" s="116"/>
      <c r="F148" s="90"/>
      <c r="G148" s="293">
        <f>109.309+0.69767-10</f>
        <v>100.00667</v>
      </c>
      <c r="H148" s="292">
        <v>95.576930000000004</v>
      </c>
      <c r="I148" s="104"/>
      <c r="J148" s="90"/>
      <c r="K148" s="104"/>
      <c r="L148" s="89"/>
      <c r="M148" s="95"/>
      <c r="N148" s="179"/>
    </row>
    <row r="149" spans="1:14" x14ac:dyDescent="0.25">
      <c r="A149" s="62">
        <f t="shared" si="10"/>
        <v>142</v>
      </c>
      <c r="B149" s="70" t="s">
        <v>160</v>
      </c>
      <c r="C149" s="185">
        <f t="shared" si="11"/>
        <v>469.8</v>
      </c>
      <c r="D149" s="291">
        <f t="shared" si="12"/>
        <v>464.26945000000001</v>
      </c>
      <c r="E149" s="116"/>
      <c r="F149" s="90"/>
      <c r="G149" s="104">
        <f>508.1-38.3</f>
        <v>469.8</v>
      </c>
      <c r="H149" s="89">
        <v>464.26945000000001</v>
      </c>
      <c r="I149" s="104"/>
      <c r="J149" s="90"/>
      <c r="K149" s="104"/>
      <c r="L149" s="89"/>
      <c r="M149" s="95"/>
      <c r="N149" s="179"/>
    </row>
    <row r="150" spans="1:14" ht="26.25" x14ac:dyDescent="0.25">
      <c r="A150" s="62">
        <f t="shared" si="10"/>
        <v>143</v>
      </c>
      <c r="B150" s="70" t="s">
        <v>349</v>
      </c>
      <c r="C150" s="185">
        <f t="shared" si="11"/>
        <v>5.5</v>
      </c>
      <c r="D150" s="291">
        <f t="shared" si="12"/>
        <v>5.2873000000000001</v>
      </c>
      <c r="E150" s="116">
        <f>5+0.5</f>
        <v>5.5</v>
      </c>
      <c r="F150" s="90">
        <v>5.2873000000000001</v>
      </c>
      <c r="G150" s="104"/>
      <c r="H150" s="89"/>
      <c r="I150" s="104"/>
      <c r="J150" s="90"/>
      <c r="K150" s="104"/>
      <c r="L150" s="89"/>
      <c r="M150" s="95"/>
      <c r="N150" s="179"/>
    </row>
    <row r="151" spans="1:14" x14ac:dyDescent="0.25">
      <c r="A151" s="62">
        <f>A150+1</f>
        <v>144</v>
      </c>
      <c r="B151" s="63" t="s">
        <v>163</v>
      </c>
      <c r="C151" s="185">
        <f t="shared" si="11"/>
        <v>1225.5</v>
      </c>
      <c r="D151" s="291">
        <f t="shared" si="12"/>
        <v>1201.84257</v>
      </c>
      <c r="E151" s="116"/>
      <c r="F151" s="90"/>
      <c r="G151" s="69">
        <f>744.9+314.5+166.1</f>
        <v>1225.5</v>
      </c>
      <c r="H151" s="89">
        <v>1201.84257</v>
      </c>
      <c r="I151" s="104"/>
      <c r="J151" s="90"/>
      <c r="K151" s="104"/>
      <c r="L151" s="89"/>
      <c r="M151" s="95"/>
      <c r="N151" s="179"/>
    </row>
    <row r="152" spans="1:14" x14ac:dyDescent="0.25">
      <c r="A152" s="62">
        <f t="shared" si="10"/>
        <v>145</v>
      </c>
      <c r="B152" s="63" t="s">
        <v>164</v>
      </c>
      <c r="C152" s="185">
        <f t="shared" si="11"/>
        <v>3406.04</v>
      </c>
      <c r="D152" s="291">
        <f t="shared" si="12"/>
        <v>3406.04</v>
      </c>
      <c r="E152" s="95">
        <f>1890+20.34</f>
        <v>1910.34</v>
      </c>
      <c r="F152" s="90">
        <v>1910.34</v>
      </c>
      <c r="G152" s="69">
        <f>1825.7-330</f>
        <v>1495.7</v>
      </c>
      <c r="H152" s="89">
        <v>1495.7</v>
      </c>
      <c r="I152" s="104"/>
      <c r="J152" s="90"/>
      <c r="K152" s="104"/>
      <c r="L152" s="89"/>
      <c r="M152" s="95"/>
      <c r="N152" s="179"/>
    </row>
    <row r="153" spans="1:14" x14ac:dyDescent="0.25">
      <c r="A153" s="62">
        <f t="shared" si="10"/>
        <v>146</v>
      </c>
      <c r="B153" s="70" t="s">
        <v>165</v>
      </c>
      <c r="C153" s="185">
        <f t="shared" si="11"/>
        <v>26.154</v>
      </c>
      <c r="D153" s="291">
        <f t="shared" si="12"/>
        <v>26.15335</v>
      </c>
      <c r="E153" s="95">
        <f>24.807+1.347</f>
        <v>26.154</v>
      </c>
      <c r="F153" s="242">
        <v>26.15335</v>
      </c>
      <c r="G153" s="243"/>
      <c r="H153" s="244"/>
      <c r="I153" s="243"/>
      <c r="J153" s="242"/>
      <c r="K153" s="243"/>
      <c r="L153" s="244"/>
      <c r="M153" s="95"/>
      <c r="N153" s="179"/>
    </row>
    <row r="154" spans="1:14" x14ac:dyDescent="0.25">
      <c r="A154" s="62">
        <f t="shared" si="10"/>
        <v>147</v>
      </c>
      <c r="B154" s="72" t="s">
        <v>166</v>
      </c>
      <c r="C154" s="185">
        <f t="shared" si="11"/>
        <v>8.34</v>
      </c>
      <c r="D154" s="291">
        <f t="shared" si="12"/>
        <v>8.34</v>
      </c>
      <c r="E154" s="116">
        <f>10-1.66</f>
        <v>8.34</v>
      </c>
      <c r="F154" s="90">
        <v>8.34</v>
      </c>
      <c r="G154" s="104"/>
      <c r="H154" s="89"/>
      <c r="I154" s="104"/>
      <c r="J154" s="90"/>
      <c r="K154" s="104"/>
      <c r="L154" s="89"/>
      <c r="M154" s="95"/>
      <c r="N154" s="179"/>
    </row>
    <row r="155" spans="1:14" x14ac:dyDescent="0.25">
      <c r="A155" s="62">
        <f t="shared" si="10"/>
        <v>148</v>
      </c>
      <c r="B155" s="70" t="s">
        <v>167</v>
      </c>
      <c r="C155" s="185">
        <f t="shared" si="11"/>
        <v>114</v>
      </c>
      <c r="D155" s="291">
        <f t="shared" si="12"/>
        <v>114</v>
      </c>
      <c r="E155" s="116">
        <f>110+4</f>
        <v>114</v>
      </c>
      <c r="F155" s="90">
        <v>114</v>
      </c>
      <c r="G155" s="104"/>
      <c r="H155" s="89"/>
      <c r="I155" s="104"/>
      <c r="J155" s="90"/>
      <c r="K155" s="104"/>
      <c r="L155" s="89"/>
      <c r="M155" s="95"/>
      <c r="N155" s="179"/>
    </row>
    <row r="156" spans="1:14" ht="25.5" x14ac:dyDescent="0.25">
      <c r="A156" s="62">
        <f t="shared" si="10"/>
        <v>149</v>
      </c>
      <c r="B156" s="49" t="s">
        <v>168</v>
      </c>
      <c r="C156" s="185">
        <f t="shared" si="11"/>
        <v>2.234</v>
      </c>
      <c r="D156" s="291">
        <f t="shared" si="12"/>
        <v>2.1659899999999999</v>
      </c>
      <c r="E156" s="116">
        <f>7-4.766</f>
        <v>2.234</v>
      </c>
      <c r="F156" s="90">
        <v>2.1659899999999999</v>
      </c>
      <c r="G156" s="104"/>
      <c r="H156" s="89"/>
      <c r="I156" s="104"/>
      <c r="J156" s="90"/>
      <c r="K156" s="104"/>
      <c r="L156" s="89"/>
      <c r="M156" s="95"/>
      <c r="N156" s="179"/>
    </row>
    <row r="157" spans="1:14" x14ac:dyDescent="0.25">
      <c r="A157" s="62">
        <f t="shared" si="10"/>
        <v>150</v>
      </c>
      <c r="B157" s="70" t="s">
        <v>169</v>
      </c>
      <c r="C157" s="185">
        <f t="shared" si="11"/>
        <v>574</v>
      </c>
      <c r="D157" s="291">
        <f t="shared" si="12"/>
        <v>574</v>
      </c>
      <c r="E157" s="95">
        <f>414+160</f>
        <v>574</v>
      </c>
      <c r="F157" s="216">
        <v>574</v>
      </c>
      <c r="G157" s="190"/>
      <c r="H157" s="215"/>
      <c r="I157" s="104"/>
      <c r="J157" s="90"/>
      <c r="K157" s="104"/>
      <c r="L157" s="89"/>
      <c r="M157" s="95"/>
      <c r="N157" s="179"/>
    </row>
    <row r="158" spans="1:14" x14ac:dyDescent="0.25">
      <c r="A158" s="62">
        <f t="shared" si="10"/>
        <v>151</v>
      </c>
      <c r="B158" s="70" t="s">
        <v>170</v>
      </c>
      <c r="C158" s="185">
        <f t="shared" si="11"/>
        <v>176.1</v>
      </c>
      <c r="D158" s="291">
        <f t="shared" si="12"/>
        <v>176.04311999999999</v>
      </c>
      <c r="E158" s="95"/>
      <c r="F158" s="217"/>
      <c r="G158" s="69">
        <f>178.6-2.5</f>
        <v>176.1</v>
      </c>
      <c r="H158" s="179">
        <v>176.04311999999999</v>
      </c>
      <c r="I158" s="104"/>
      <c r="J158" s="90"/>
      <c r="K158" s="104"/>
      <c r="L158" s="89"/>
      <c r="M158" s="95"/>
      <c r="N158" s="179"/>
    </row>
    <row r="159" spans="1:14" ht="26.25" x14ac:dyDescent="0.25">
      <c r="A159" s="62">
        <f t="shared" si="10"/>
        <v>152</v>
      </c>
      <c r="B159" s="70" t="s">
        <v>171</v>
      </c>
      <c r="C159" s="185">
        <f t="shared" si="11"/>
        <v>89.640999999999991</v>
      </c>
      <c r="D159" s="291">
        <f t="shared" si="12"/>
        <v>82.792500000000004</v>
      </c>
      <c r="E159" s="95"/>
      <c r="F159" s="217"/>
      <c r="G159" s="69">
        <f>107.07-8.59-8.839</f>
        <v>89.640999999999991</v>
      </c>
      <c r="H159" s="179">
        <v>82.792500000000004</v>
      </c>
      <c r="I159" s="104"/>
      <c r="J159" s="90"/>
      <c r="K159" s="104"/>
      <c r="L159" s="89"/>
      <c r="M159" s="95"/>
      <c r="N159" s="179"/>
    </row>
    <row r="160" spans="1:14" x14ac:dyDescent="0.25">
      <c r="A160" s="62">
        <f t="shared" si="10"/>
        <v>153</v>
      </c>
      <c r="B160" s="70" t="s">
        <v>51</v>
      </c>
      <c r="C160" s="185">
        <f t="shared" si="11"/>
        <v>24.678999999999998</v>
      </c>
      <c r="D160" s="291">
        <f t="shared" si="12"/>
        <v>14.56076</v>
      </c>
      <c r="E160" s="95"/>
      <c r="F160" s="217"/>
      <c r="G160" s="69">
        <v>24.678999999999998</v>
      </c>
      <c r="H160" s="179">
        <v>14.56076</v>
      </c>
      <c r="I160" s="245"/>
      <c r="J160" s="246"/>
      <c r="K160" s="245"/>
      <c r="L160" s="193"/>
      <c r="M160" s="95"/>
      <c r="N160" s="179"/>
    </row>
    <row r="161" spans="1:16" x14ac:dyDescent="0.25">
      <c r="A161" s="62">
        <f t="shared" si="10"/>
        <v>154</v>
      </c>
      <c r="B161" s="117" t="s">
        <v>172</v>
      </c>
      <c r="C161" s="185">
        <f t="shared" si="11"/>
        <v>109.443</v>
      </c>
      <c r="D161" s="291">
        <f t="shared" si="12"/>
        <v>109.44204000000001</v>
      </c>
      <c r="E161" s="247">
        <f>100+15-5.557</f>
        <v>109.443</v>
      </c>
      <c r="F161" s="248">
        <v>109.44204000000001</v>
      </c>
      <c r="G161" s="249"/>
      <c r="H161" s="250"/>
      <c r="I161" s="235"/>
      <c r="J161" s="237"/>
      <c r="K161" s="235"/>
      <c r="L161" s="236"/>
      <c r="M161" s="95"/>
      <c r="N161" s="179"/>
    </row>
    <row r="162" spans="1:16" x14ac:dyDescent="0.25">
      <c r="A162" s="62">
        <f t="shared" si="10"/>
        <v>155</v>
      </c>
      <c r="B162" s="70" t="s">
        <v>173</v>
      </c>
      <c r="C162" s="185">
        <f t="shared" si="11"/>
        <v>19</v>
      </c>
      <c r="D162" s="291">
        <f t="shared" si="12"/>
        <v>19</v>
      </c>
      <c r="E162" s="251">
        <v>19</v>
      </c>
      <c r="F162" s="148">
        <v>19</v>
      </c>
      <c r="G162" s="46"/>
      <c r="H162" s="50"/>
      <c r="I162" s="104"/>
      <c r="J162" s="90"/>
      <c r="K162" s="104"/>
      <c r="L162" s="89"/>
      <c r="M162" s="95"/>
      <c r="N162" s="179"/>
    </row>
    <row r="163" spans="1:16" x14ac:dyDescent="0.25">
      <c r="A163" s="62">
        <f t="shared" si="10"/>
        <v>156</v>
      </c>
      <c r="B163" s="70" t="s">
        <v>174</v>
      </c>
      <c r="C163" s="185">
        <f t="shared" si="11"/>
        <v>12.7</v>
      </c>
      <c r="D163" s="291">
        <f t="shared" si="12"/>
        <v>12.7</v>
      </c>
      <c r="E163" s="251">
        <f>10+3.5-0.8</f>
        <v>12.7</v>
      </c>
      <c r="F163" s="148">
        <v>12.7</v>
      </c>
      <c r="G163" s="46"/>
      <c r="H163" s="50"/>
      <c r="I163" s="104"/>
      <c r="J163" s="90"/>
      <c r="K163" s="104"/>
      <c r="L163" s="89"/>
      <c r="M163" s="95"/>
      <c r="N163" s="179"/>
    </row>
    <row r="164" spans="1:16" x14ac:dyDescent="0.25">
      <c r="A164" s="62">
        <f t="shared" si="10"/>
        <v>157</v>
      </c>
      <c r="B164" s="70" t="s">
        <v>175</v>
      </c>
      <c r="C164" s="185">
        <f t="shared" si="11"/>
        <v>19.791</v>
      </c>
      <c r="D164" s="291">
        <f t="shared" si="12"/>
        <v>19.790150000000001</v>
      </c>
      <c r="E164" s="251">
        <f>15+4.791</f>
        <v>19.791</v>
      </c>
      <c r="F164" s="148">
        <v>19.790150000000001</v>
      </c>
      <c r="G164" s="252"/>
      <c r="H164" s="253"/>
      <c r="I164" s="104"/>
      <c r="J164" s="90"/>
      <c r="K164" s="104"/>
      <c r="L164" s="89"/>
      <c r="M164" s="95"/>
      <c r="N164" s="179"/>
    </row>
    <row r="165" spans="1:16" ht="26.25" x14ac:dyDescent="0.25">
      <c r="A165" s="62">
        <f t="shared" si="10"/>
        <v>158</v>
      </c>
      <c r="B165" s="70" t="s">
        <v>59</v>
      </c>
      <c r="C165" s="185">
        <f t="shared" si="11"/>
        <v>66.842910000000003</v>
      </c>
      <c r="D165" s="291">
        <f t="shared" si="12"/>
        <v>66.842910000000003</v>
      </c>
      <c r="E165" s="251"/>
      <c r="F165" s="148"/>
      <c r="G165" s="46">
        <f>51.45275+4.84667+5.24515+5.29834</f>
        <v>66.842910000000003</v>
      </c>
      <c r="H165" s="254">
        <v>66.842910000000003</v>
      </c>
      <c r="I165" s="104"/>
      <c r="J165" s="90"/>
      <c r="K165" s="104"/>
      <c r="L165" s="89"/>
      <c r="M165" s="95"/>
      <c r="N165" s="179"/>
    </row>
    <row r="166" spans="1:16" x14ac:dyDescent="0.25">
      <c r="A166" s="62">
        <f t="shared" si="10"/>
        <v>159</v>
      </c>
      <c r="B166" s="117" t="s">
        <v>62</v>
      </c>
      <c r="C166" s="185">
        <f t="shared" si="11"/>
        <v>27.58962</v>
      </c>
      <c r="D166" s="291">
        <f t="shared" si="12"/>
        <v>27.38785</v>
      </c>
      <c r="E166" s="251"/>
      <c r="F166" s="255"/>
      <c r="G166" s="46">
        <v>27.58962</v>
      </c>
      <c r="H166" s="254">
        <v>27.38785</v>
      </c>
      <c r="I166" s="104"/>
      <c r="J166" s="90"/>
      <c r="K166" s="104"/>
      <c r="L166" s="89"/>
      <c r="M166" s="95"/>
      <c r="N166" s="179"/>
    </row>
    <row r="167" spans="1:16" ht="26.25" x14ac:dyDescent="0.25">
      <c r="A167" s="62">
        <f t="shared" si="10"/>
        <v>160</v>
      </c>
      <c r="B167" s="70" t="s">
        <v>176</v>
      </c>
      <c r="C167" s="185">
        <f t="shared" si="11"/>
        <v>38.802280000000003</v>
      </c>
      <c r="D167" s="291">
        <f t="shared" si="12"/>
        <v>38.802280000000003</v>
      </c>
      <c r="E167" s="251">
        <v>38.802280000000003</v>
      </c>
      <c r="F167" s="148">
        <v>38.802280000000003</v>
      </c>
      <c r="G167" s="46"/>
      <c r="H167" s="254"/>
      <c r="I167" s="104"/>
      <c r="J167" s="90"/>
      <c r="K167" s="104"/>
      <c r="L167" s="89"/>
      <c r="M167" s="95"/>
      <c r="N167" s="179"/>
    </row>
    <row r="168" spans="1:16" x14ac:dyDescent="0.25">
      <c r="A168" s="62">
        <f t="shared" si="10"/>
        <v>161</v>
      </c>
      <c r="B168" s="118" t="s">
        <v>177</v>
      </c>
      <c r="C168" s="185">
        <f t="shared" si="11"/>
        <v>50</v>
      </c>
      <c r="D168" s="291">
        <f t="shared" si="12"/>
        <v>50</v>
      </c>
      <c r="E168" s="251">
        <v>50</v>
      </c>
      <c r="F168" s="148">
        <v>50</v>
      </c>
      <c r="G168" s="46"/>
      <c r="H168" s="254"/>
      <c r="I168" s="104"/>
      <c r="J168" s="90"/>
      <c r="K168" s="104"/>
      <c r="L168" s="89"/>
      <c r="M168" s="95"/>
      <c r="N168" s="179"/>
    </row>
    <row r="169" spans="1:16" ht="51.75" x14ac:dyDescent="0.25">
      <c r="A169" s="62">
        <f t="shared" si="10"/>
        <v>162</v>
      </c>
      <c r="B169" s="70" t="s">
        <v>350</v>
      </c>
      <c r="C169" s="185">
        <f t="shared" si="11"/>
        <v>10.050000000000001</v>
      </c>
      <c r="D169" s="291">
        <f t="shared" si="12"/>
        <v>0</v>
      </c>
      <c r="E169" s="251"/>
      <c r="F169" s="148"/>
      <c r="G169" s="46">
        <f>2.547+2+5.503</f>
        <v>10.050000000000001</v>
      </c>
      <c r="H169" s="254">
        <v>0</v>
      </c>
      <c r="I169" s="104"/>
      <c r="J169" s="90"/>
      <c r="K169" s="104"/>
      <c r="L169" s="89"/>
      <c r="M169" s="95"/>
      <c r="N169" s="179"/>
    </row>
    <row r="170" spans="1:16" x14ac:dyDescent="0.25">
      <c r="A170" s="60">
        <f t="shared" si="10"/>
        <v>163</v>
      </c>
      <c r="B170" s="64" t="s">
        <v>260</v>
      </c>
      <c r="C170" s="284">
        <f t="shared" si="11"/>
        <v>1344.0030300000001</v>
      </c>
      <c r="D170" s="294">
        <f>F170+H170+J170+L170+N170</f>
        <v>1298.5689599999998</v>
      </c>
      <c r="E170" s="102">
        <v>994.84402999999998</v>
      </c>
      <c r="F170" s="97">
        <v>990.67728</v>
      </c>
      <c r="G170" s="256">
        <v>104.563</v>
      </c>
      <c r="H170" s="257">
        <v>104.563</v>
      </c>
      <c r="I170" s="184"/>
      <c r="J170" s="99"/>
      <c r="K170" s="184">
        <f>160+10</f>
        <v>170</v>
      </c>
      <c r="L170" s="182">
        <v>128.73282</v>
      </c>
      <c r="M170" s="102">
        <v>74.596000000000004</v>
      </c>
      <c r="N170" s="101">
        <v>74.595860000000002</v>
      </c>
    </row>
    <row r="171" spans="1:16" x14ac:dyDescent="0.25">
      <c r="A171" s="60">
        <f t="shared" si="10"/>
        <v>164</v>
      </c>
      <c r="B171" s="76" t="s">
        <v>263</v>
      </c>
      <c r="C171" s="284">
        <f t="shared" si="11"/>
        <v>1868.41291</v>
      </c>
      <c r="D171" s="294">
        <f>F171+H171+J171+L171+N171</f>
        <v>1859.83151</v>
      </c>
      <c r="E171" s="102">
        <f>1108.608-33</f>
        <v>1075.6079999999999</v>
      </c>
      <c r="F171" s="97">
        <v>1070.06762</v>
      </c>
      <c r="G171" s="67">
        <f>711.996-88+40+5.505+3.796</f>
        <v>673.29700000000003</v>
      </c>
      <c r="H171" s="101">
        <v>673.29700000000003</v>
      </c>
      <c r="I171" s="104"/>
      <c r="J171" s="90"/>
      <c r="K171" s="184">
        <f>58.745+34</f>
        <v>92.745000000000005</v>
      </c>
      <c r="L171" s="182">
        <v>89.703980000000001</v>
      </c>
      <c r="M171" s="102">
        <v>26.762910000000002</v>
      </c>
      <c r="N171" s="101">
        <v>26.762910000000002</v>
      </c>
    </row>
    <row r="172" spans="1:16" x14ac:dyDescent="0.25">
      <c r="A172" s="60">
        <f t="shared" si="10"/>
        <v>165</v>
      </c>
      <c r="B172" s="71" t="s">
        <v>265</v>
      </c>
      <c r="C172" s="284">
        <f t="shared" si="11"/>
        <v>16.118000000000002</v>
      </c>
      <c r="D172" s="294">
        <f t="shared" si="12"/>
        <v>15.141999999999999</v>
      </c>
      <c r="E172" s="102">
        <v>1.03</v>
      </c>
      <c r="F172" s="97">
        <v>1.03</v>
      </c>
      <c r="G172" s="67">
        <f>20.184-3.92-1.176</f>
        <v>15.088000000000003</v>
      </c>
      <c r="H172" s="101">
        <v>14.112</v>
      </c>
      <c r="I172" s="69"/>
      <c r="J172" s="217"/>
      <c r="K172" s="67"/>
      <c r="L172" s="101"/>
      <c r="M172" s="95"/>
      <c r="N172" s="179"/>
      <c r="O172" s="141"/>
      <c r="P172" s="141"/>
    </row>
    <row r="173" spans="1:16" x14ac:dyDescent="0.25">
      <c r="A173" s="60">
        <f t="shared" si="10"/>
        <v>166</v>
      </c>
      <c r="B173" s="71" t="s">
        <v>266</v>
      </c>
      <c r="C173" s="284">
        <f t="shared" si="11"/>
        <v>11.906000000000001</v>
      </c>
      <c r="D173" s="294">
        <f t="shared" si="12"/>
        <v>10.73</v>
      </c>
      <c r="E173" s="100">
        <v>0.93</v>
      </c>
      <c r="F173" s="99">
        <v>0.93</v>
      </c>
      <c r="G173" s="184">
        <f>14.896-3.92</f>
        <v>10.976000000000001</v>
      </c>
      <c r="H173" s="182">
        <v>9.8000000000000007</v>
      </c>
      <c r="I173" s="104"/>
      <c r="J173" s="90"/>
      <c r="K173" s="104"/>
      <c r="L173" s="89"/>
      <c r="M173" s="95"/>
      <c r="N173" s="179"/>
    </row>
    <row r="174" spans="1:16" x14ac:dyDescent="0.25">
      <c r="A174" s="60">
        <f t="shared" si="10"/>
        <v>167</v>
      </c>
      <c r="B174" s="71" t="s">
        <v>267</v>
      </c>
      <c r="C174" s="284">
        <f t="shared" si="11"/>
        <v>18.358000000000001</v>
      </c>
      <c r="D174" s="294">
        <f t="shared" si="12"/>
        <v>16.006</v>
      </c>
      <c r="E174" s="100">
        <v>1.1100000000000001</v>
      </c>
      <c r="F174" s="99">
        <v>1.1100000000000001</v>
      </c>
      <c r="G174" s="184">
        <v>17.248000000000001</v>
      </c>
      <c r="H174" s="182">
        <v>14.896000000000001</v>
      </c>
      <c r="I174" s="104"/>
      <c r="J174" s="90"/>
      <c r="K174" s="104"/>
      <c r="L174" s="89"/>
      <c r="M174" s="95"/>
      <c r="N174" s="179"/>
    </row>
    <row r="175" spans="1:16" x14ac:dyDescent="0.25">
      <c r="A175" s="60">
        <f t="shared" si="10"/>
        <v>168</v>
      </c>
      <c r="B175" s="71" t="s">
        <v>268</v>
      </c>
      <c r="C175" s="284">
        <f t="shared" si="11"/>
        <v>4.0279999999999996</v>
      </c>
      <c r="D175" s="294">
        <f t="shared" si="12"/>
        <v>3.2440000000000002</v>
      </c>
      <c r="E175" s="100">
        <v>0.5</v>
      </c>
      <c r="F175" s="99">
        <v>0.5</v>
      </c>
      <c r="G175" s="184">
        <f>6.664-3.136</f>
        <v>3.5279999999999996</v>
      </c>
      <c r="H175" s="182">
        <v>2.7440000000000002</v>
      </c>
      <c r="I175" s="104"/>
      <c r="J175" s="90"/>
      <c r="K175" s="104"/>
      <c r="L175" s="89"/>
      <c r="M175" s="95"/>
      <c r="N175" s="179"/>
    </row>
    <row r="176" spans="1:16" x14ac:dyDescent="0.25">
      <c r="A176" s="60">
        <f t="shared" si="10"/>
        <v>169</v>
      </c>
      <c r="B176" s="71" t="s">
        <v>269</v>
      </c>
      <c r="C176" s="284">
        <f t="shared" si="11"/>
        <v>10.792</v>
      </c>
      <c r="D176" s="294">
        <f t="shared" si="12"/>
        <v>9.5179999999999989</v>
      </c>
      <c r="E176" s="100">
        <v>0.6</v>
      </c>
      <c r="F176" s="99">
        <v>0.6</v>
      </c>
      <c r="G176" s="184">
        <f>9.408+0.784</f>
        <v>10.192</v>
      </c>
      <c r="H176" s="182">
        <v>8.9179999999999993</v>
      </c>
      <c r="I176" s="104"/>
      <c r="J176" s="90"/>
      <c r="K176" s="104"/>
      <c r="L176" s="89"/>
      <c r="M176" s="95"/>
      <c r="N176" s="179"/>
    </row>
    <row r="177" spans="1:16" x14ac:dyDescent="0.25">
      <c r="A177" s="60">
        <f t="shared" si="10"/>
        <v>170</v>
      </c>
      <c r="B177" s="71" t="s">
        <v>270</v>
      </c>
      <c r="C177" s="284">
        <f t="shared" si="11"/>
        <v>21.516000000000002</v>
      </c>
      <c r="D177" s="294">
        <f t="shared" si="12"/>
        <v>20.347999999999999</v>
      </c>
      <c r="E177" s="100">
        <v>1.1399999999999999</v>
      </c>
      <c r="F177" s="99">
        <v>1.1399999999999999</v>
      </c>
      <c r="G177" s="184">
        <f>27.832-6.28-1.176</f>
        <v>20.376000000000001</v>
      </c>
      <c r="H177" s="182">
        <v>19.207999999999998</v>
      </c>
      <c r="I177" s="104"/>
      <c r="J177" s="90"/>
      <c r="K177" s="104"/>
      <c r="L177" s="89"/>
      <c r="M177" s="95"/>
      <c r="N177" s="179"/>
    </row>
    <row r="178" spans="1:16" x14ac:dyDescent="0.25">
      <c r="A178" s="60">
        <f t="shared" si="10"/>
        <v>171</v>
      </c>
      <c r="B178" s="71" t="s">
        <v>326</v>
      </c>
      <c r="C178" s="284">
        <f t="shared" si="11"/>
        <v>22.578000000000003</v>
      </c>
      <c r="D178" s="294">
        <f t="shared" si="12"/>
        <v>21.303999999999998</v>
      </c>
      <c r="E178" s="100">
        <v>1.41</v>
      </c>
      <c r="F178" s="99">
        <v>1.41</v>
      </c>
      <c r="G178" s="184">
        <f>21.952-0.784</f>
        <v>21.168000000000003</v>
      </c>
      <c r="H178" s="182">
        <v>19.893999999999998</v>
      </c>
      <c r="I178" s="104"/>
      <c r="J178" s="90"/>
      <c r="K178" s="104"/>
      <c r="L178" s="89"/>
      <c r="M178" s="95"/>
      <c r="N178" s="179"/>
    </row>
    <row r="179" spans="1:16" x14ac:dyDescent="0.25">
      <c r="A179" s="60">
        <f t="shared" si="10"/>
        <v>172</v>
      </c>
      <c r="B179" s="71" t="s">
        <v>272</v>
      </c>
      <c r="C179" s="284">
        <f t="shared" si="11"/>
        <v>10.932</v>
      </c>
      <c r="D179" s="294">
        <f t="shared" si="12"/>
        <v>8.9719999999999995</v>
      </c>
      <c r="E179" s="100">
        <v>0.74</v>
      </c>
      <c r="F179" s="99">
        <v>0.74</v>
      </c>
      <c r="G179" s="184">
        <f>10.976-0.784</f>
        <v>10.192</v>
      </c>
      <c r="H179" s="182">
        <v>8.2319999999999993</v>
      </c>
      <c r="I179" s="104"/>
      <c r="J179" s="90"/>
      <c r="K179" s="104"/>
      <c r="L179" s="89"/>
      <c r="M179" s="95"/>
      <c r="N179" s="179"/>
    </row>
    <row r="180" spans="1:16" x14ac:dyDescent="0.25">
      <c r="A180" s="60">
        <f t="shared" si="10"/>
        <v>173</v>
      </c>
      <c r="B180" s="71" t="s">
        <v>273</v>
      </c>
      <c r="C180" s="284">
        <f t="shared" si="11"/>
        <v>37.404000000000003</v>
      </c>
      <c r="D180" s="294">
        <f t="shared" si="12"/>
        <v>35.441960000000002</v>
      </c>
      <c r="E180" s="100">
        <f>1.596+1.58</f>
        <v>3.1760000000000002</v>
      </c>
      <c r="F180" s="99">
        <v>3.1739600000000001</v>
      </c>
      <c r="G180" s="184">
        <f>31.36+2.868</f>
        <v>34.228000000000002</v>
      </c>
      <c r="H180" s="182">
        <v>32.268000000000001</v>
      </c>
      <c r="I180" s="104"/>
      <c r="J180" s="90"/>
      <c r="K180" s="104"/>
      <c r="L180" s="89"/>
      <c r="M180" s="95"/>
      <c r="N180" s="179"/>
    </row>
    <row r="181" spans="1:16" x14ac:dyDescent="0.25">
      <c r="A181" s="60">
        <f t="shared" si="10"/>
        <v>174</v>
      </c>
      <c r="B181" s="71" t="s">
        <v>274</v>
      </c>
      <c r="C181" s="284">
        <f t="shared" si="11"/>
        <v>81.163999999999987</v>
      </c>
      <c r="D181" s="294">
        <f t="shared" si="12"/>
        <v>77.597999999999999</v>
      </c>
      <c r="E181" s="100">
        <v>0.96</v>
      </c>
      <c r="F181" s="99">
        <v>0.96</v>
      </c>
      <c r="G181" s="184">
        <f>94.58-14.376</f>
        <v>80.203999999999994</v>
      </c>
      <c r="H181" s="182">
        <v>76.638000000000005</v>
      </c>
      <c r="I181" s="104"/>
      <c r="J181" s="90"/>
      <c r="K181" s="104"/>
      <c r="L181" s="89"/>
      <c r="M181" s="95"/>
      <c r="N181" s="179"/>
    </row>
    <row r="182" spans="1:16" x14ac:dyDescent="0.25">
      <c r="A182" s="60">
        <f t="shared" si="10"/>
        <v>175</v>
      </c>
      <c r="B182" s="71" t="s">
        <v>313</v>
      </c>
      <c r="C182" s="284">
        <f t="shared" si="11"/>
        <v>100</v>
      </c>
      <c r="D182" s="294">
        <f t="shared" si="12"/>
        <v>98.860550000000003</v>
      </c>
      <c r="E182" s="116"/>
      <c r="F182" s="90"/>
      <c r="G182" s="66">
        <f>G183</f>
        <v>100</v>
      </c>
      <c r="H182" s="258">
        <f>H183</f>
        <v>98.860550000000003</v>
      </c>
      <c r="I182" s="104"/>
      <c r="J182" s="90"/>
      <c r="K182" s="104"/>
      <c r="L182" s="89"/>
      <c r="M182" s="95"/>
      <c r="N182" s="179"/>
    </row>
    <row r="183" spans="1:16" x14ac:dyDescent="0.25">
      <c r="A183" s="62">
        <f t="shared" si="10"/>
        <v>176</v>
      </c>
      <c r="B183" s="63" t="s">
        <v>351</v>
      </c>
      <c r="C183" s="185">
        <f t="shared" si="11"/>
        <v>100</v>
      </c>
      <c r="D183" s="291">
        <f t="shared" si="12"/>
        <v>98.860550000000003</v>
      </c>
      <c r="E183" s="116"/>
      <c r="F183" s="90"/>
      <c r="G183" s="104">
        <v>100</v>
      </c>
      <c r="H183" s="89">
        <v>98.860550000000003</v>
      </c>
      <c r="I183" s="104"/>
      <c r="J183" s="90"/>
      <c r="K183" s="104"/>
      <c r="L183" s="89"/>
      <c r="M183" s="95"/>
      <c r="N183" s="179"/>
    </row>
    <row r="184" spans="1:16" x14ac:dyDescent="0.25">
      <c r="A184" s="60">
        <f t="shared" si="10"/>
        <v>177</v>
      </c>
      <c r="B184" s="71" t="s">
        <v>317</v>
      </c>
      <c r="C184" s="284">
        <f t="shared" si="11"/>
        <v>705.58600000000001</v>
      </c>
      <c r="D184" s="294">
        <f t="shared" si="12"/>
        <v>705.51413000000002</v>
      </c>
      <c r="E184" s="201">
        <f>SUM(E185:E187)</f>
        <v>705.58600000000001</v>
      </c>
      <c r="F184" s="201">
        <f>SUM(F185:F187)</f>
        <v>705.51413000000002</v>
      </c>
      <c r="G184" s="104"/>
      <c r="H184" s="89"/>
      <c r="I184" s="104"/>
      <c r="J184" s="90"/>
      <c r="K184" s="104"/>
      <c r="L184" s="89"/>
      <c r="M184" s="95"/>
      <c r="N184" s="179"/>
    </row>
    <row r="185" spans="1:16" ht="26.25" x14ac:dyDescent="0.25">
      <c r="A185" s="62">
        <f t="shared" si="10"/>
        <v>178</v>
      </c>
      <c r="B185" s="70" t="s">
        <v>181</v>
      </c>
      <c r="C185" s="185">
        <f t="shared" si="11"/>
        <v>690.48599999999999</v>
      </c>
      <c r="D185" s="291">
        <f t="shared" si="12"/>
        <v>690.48599999999999</v>
      </c>
      <c r="E185" s="95">
        <f>513.5+113.583+63.403</f>
        <v>690.48599999999999</v>
      </c>
      <c r="F185" s="259">
        <v>690.48599999999999</v>
      </c>
      <c r="G185" s="104"/>
      <c r="H185" s="89"/>
      <c r="I185" s="104"/>
      <c r="J185" s="90"/>
      <c r="K185" s="104"/>
      <c r="L185" s="89"/>
      <c r="M185" s="95"/>
      <c r="N185" s="179"/>
    </row>
    <row r="186" spans="1:16" x14ac:dyDescent="0.25">
      <c r="A186" s="62">
        <f t="shared" si="10"/>
        <v>179</v>
      </c>
      <c r="B186" s="63" t="s">
        <v>183</v>
      </c>
      <c r="C186" s="185">
        <f t="shared" si="11"/>
        <v>0.1</v>
      </c>
      <c r="D186" s="291">
        <f t="shared" si="12"/>
        <v>3.576E-2</v>
      </c>
      <c r="E186" s="189">
        <v>0.1</v>
      </c>
      <c r="F186" s="90">
        <v>3.576E-2</v>
      </c>
      <c r="G186" s="104"/>
      <c r="H186" s="89"/>
      <c r="I186" s="104"/>
      <c r="J186" s="90"/>
      <c r="K186" s="104"/>
      <c r="L186" s="89"/>
      <c r="M186" s="95"/>
      <c r="N186" s="179"/>
    </row>
    <row r="187" spans="1:16" x14ac:dyDescent="0.25">
      <c r="A187" s="62">
        <f t="shared" si="10"/>
        <v>180</v>
      </c>
      <c r="B187" s="119" t="s">
        <v>184</v>
      </c>
      <c r="C187" s="185">
        <f t="shared" si="11"/>
        <v>15</v>
      </c>
      <c r="D187" s="291">
        <f t="shared" si="12"/>
        <v>14.992369999999999</v>
      </c>
      <c r="E187" s="116">
        <v>15</v>
      </c>
      <c r="F187" s="90">
        <v>14.992369999999999</v>
      </c>
      <c r="G187" s="190"/>
      <c r="H187" s="215"/>
      <c r="I187" s="104"/>
      <c r="J187" s="90"/>
      <c r="K187" s="190"/>
      <c r="L187" s="215"/>
      <c r="M187" s="95"/>
      <c r="N187" s="179"/>
    </row>
    <row r="188" spans="1:16" ht="15.75" thickBot="1" x14ac:dyDescent="0.3">
      <c r="A188" s="78">
        <f t="shared" si="10"/>
        <v>181</v>
      </c>
      <c r="B188" s="120" t="s">
        <v>261</v>
      </c>
      <c r="C188" s="223">
        <f t="shared" si="11"/>
        <v>672.32314999999994</v>
      </c>
      <c r="D188" s="299">
        <f>F188+H188+J188+L188+N188</f>
        <v>672.32314999999994</v>
      </c>
      <c r="E188" s="201">
        <f>24.378+0.9</f>
        <v>25.277999999999999</v>
      </c>
      <c r="F188" s="202">
        <v>25.277999999999999</v>
      </c>
      <c r="G188" s="260">
        <v>287.89999999999998</v>
      </c>
      <c r="H188" s="261">
        <v>287.89999999999998</v>
      </c>
      <c r="I188" s="196"/>
      <c r="J188" s="421"/>
      <c r="K188" s="260">
        <f>336.4+4.17515+3.32485</f>
        <v>343.9</v>
      </c>
      <c r="L188" s="261">
        <v>343.9</v>
      </c>
      <c r="M188" s="210">
        <v>15.245150000000001</v>
      </c>
      <c r="N188" s="204">
        <v>15.245150000000001</v>
      </c>
    </row>
    <row r="189" spans="1:16" ht="37.5" customHeight="1" thickBot="1" x14ac:dyDescent="0.3">
      <c r="A189" s="51">
        <f t="shared" si="10"/>
        <v>182</v>
      </c>
      <c r="B189" s="123" t="s">
        <v>352</v>
      </c>
      <c r="C189" s="283">
        <f t="shared" si="11"/>
        <v>7461.9899600000008</v>
      </c>
      <c r="D189" s="283">
        <f t="shared" si="12"/>
        <v>7237.0855300000003</v>
      </c>
      <c r="E189" s="124">
        <f>E190+E200+SUM(E206:E215)+E204</f>
        <v>2613.4451100000001</v>
      </c>
      <c r="F189" s="124">
        <f>F190+F200+SUM(F206:F215)+F204</f>
        <v>2413.37039</v>
      </c>
      <c r="G189" s="125">
        <f>G190+G200+SUM(G206:G215)</f>
        <v>4845.0448500000002</v>
      </c>
      <c r="H189" s="125">
        <f>H190+H200+SUM(H206:H215)</f>
        <v>4823.7151400000002</v>
      </c>
      <c r="I189" s="263"/>
      <c r="J189" s="262"/>
      <c r="K189" s="125">
        <f>K190+K200+SUM(K206:K215)</f>
        <v>3.5</v>
      </c>
      <c r="L189" s="125">
        <f>L190+L200+SUM(L206:L215)</f>
        <v>0</v>
      </c>
      <c r="M189" s="233"/>
      <c r="N189" s="234"/>
      <c r="O189" s="141"/>
      <c r="P189" s="141"/>
    </row>
    <row r="190" spans="1:16" x14ac:dyDescent="0.25">
      <c r="A190" s="60">
        <f t="shared" si="10"/>
        <v>183</v>
      </c>
      <c r="B190" s="126" t="s">
        <v>353</v>
      </c>
      <c r="C190" s="65">
        <f t="shared" si="11"/>
        <v>6261.50396</v>
      </c>
      <c r="D190" s="174">
        <f t="shared" si="12"/>
        <v>6081.1777000000002</v>
      </c>
      <c r="E190" s="127">
        <f>SUM(E191:E199)</f>
        <v>1416.45911</v>
      </c>
      <c r="F190" s="127">
        <f>SUM(F191:F199)</f>
        <v>1257.4625599999999</v>
      </c>
      <c r="G190" s="128">
        <f>G194+G198+G192</f>
        <v>4845.0448500000002</v>
      </c>
      <c r="H190" s="128">
        <f>H194+H198+H192</f>
        <v>4823.7151400000002</v>
      </c>
      <c r="I190" s="264"/>
      <c r="J190" s="265"/>
      <c r="K190" s="264"/>
      <c r="L190" s="266"/>
      <c r="M190" s="176"/>
      <c r="N190" s="177"/>
    </row>
    <row r="191" spans="1:16" x14ac:dyDescent="0.25">
      <c r="A191" s="62">
        <f t="shared" si="10"/>
        <v>184</v>
      </c>
      <c r="B191" s="129" t="s">
        <v>189</v>
      </c>
      <c r="C191" s="235">
        <f t="shared" si="11"/>
        <v>160</v>
      </c>
      <c r="D191" s="89">
        <f t="shared" si="12"/>
        <v>159.67355000000001</v>
      </c>
      <c r="E191" s="95">
        <f>163-1-2</f>
        <v>160</v>
      </c>
      <c r="F191" s="177">
        <v>159.67355000000001</v>
      </c>
      <c r="G191" s="128"/>
      <c r="H191" s="222"/>
      <c r="I191" s="235"/>
      <c r="J191" s="236"/>
      <c r="K191" s="189"/>
      <c r="L191" s="237"/>
      <c r="M191" s="69"/>
      <c r="N191" s="179"/>
    </row>
    <row r="192" spans="1:16" ht="25.5" x14ac:dyDescent="0.25">
      <c r="A192" s="62">
        <f t="shared" si="10"/>
        <v>185</v>
      </c>
      <c r="B192" s="130" t="s">
        <v>190</v>
      </c>
      <c r="C192" s="235">
        <f t="shared" si="11"/>
        <v>691.97974999999997</v>
      </c>
      <c r="D192" s="89">
        <f t="shared" si="12"/>
        <v>676.50741000000005</v>
      </c>
      <c r="E192" s="95">
        <f>413.7349+100+80</f>
        <v>593.73489999999993</v>
      </c>
      <c r="F192" s="179">
        <v>578.26256000000001</v>
      </c>
      <c r="G192" s="69">
        <f>91.30675+3.67433+3.26377</f>
        <v>98.244849999999985</v>
      </c>
      <c r="H192" s="179">
        <v>98.24485</v>
      </c>
      <c r="I192" s="235"/>
      <c r="J192" s="236"/>
      <c r="K192" s="189"/>
      <c r="L192" s="237"/>
      <c r="M192" s="69"/>
      <c r="N192" s="179"/>
    </row>
    <row r="193" spans="1:17" ht="26.25" x14ac:dyDescent="0.25">
      <c r="A193" s="62">
        <f t="shared" si="10"/>
        <v>186</v>
      </c>
      <c r="B193" s="91" t="s">
        <v>191</v>
      </c>
      <c r="C193" s="235">
        <f t="shared" si="11"/>
        <v>14.5</v>
      </c>
      <c r="D193" s="89">
        <f t="shared" si="12"/>
        <v>13.472799999999999</v>
      </c>
      <c r="E193" s="95">
        <f>10+1.5+1+2</f>
        <v>14.5</v>
      </c>
      <c r="F193" s="236">
        <v>13.472799999999999</v>
      </c>
      <c r="G193" s="235"/>
      <c r="H193" s="236"/>
      <c r="I193" s="104"/>
      <c r="J193" s="89"/>
      <c r="K193" s="116"/>
      <c r="L193" s="90"/>
      <c r="M193" s="69"/>
      <c r="N193" s="179"/>
    </row>
    <row r="194" spans="1:17" ht="26.25" x14ac:dyDescent="0.25">
      <c r="A194" s="62">
        <f t="shared" si="10"/>
        <v>187</v>
      </c>
      <c r="B194" s="91" t="s">
        <v>354</v>
      </c>
      <c r="C194" s="235">
        <f t="shared" si="11"/>
        <v>2253</v>
      </c>
      <c r="D194" s="89">
        <f t="shared" si="12"/>
        <v>2253</v>
      </c>
      <c r="E194" s="95"/>
      <c r="F194" s="179"/>
      <c r="G194" s="69">
        <f>1587+666</f>
        <v>2253</v>
      </c>
      <c r="H194" s="179">
        <v>2253</v>
      </c>
      <c r="I194" s="104"/>
      <c r="J194" s="89"/>
      <c r="K194" s="116"/>
      <c r="L194" s="90"/>
      <c r="M194" s="69"/>
      <c r="N194" s="179"/>
    </row>
    <row r="195" spans="1:17" x14ac:dyDescent="0.25">
      <c r="A195" s="62">
        <f t="shared" si="10"/>
        <v>188</v>
      </c>
      <c r="B195" s="91" t="s">
        <v>193</v>
      </c>
      <c r="C195" s="235">
        <f t="shared" si="11"/>
        <v>55</v>
      </c>
      <c r="D195" s="89">
        <f t="shared" si="12"/>
        <v>54.862369999999999</v>
      </c>
      <c r="E195" s="95">
        <v>55</v>
      </c>
      <c r="F195" s="179">
        <v>54.862369999999999</v>
      </c>
      <c r="G195" s="69"/>
      <c r="H195" s="179"/>
      <c r="I195" s="104"/>
      <c r="J195" s="89"/>
      <c r="K195" s="116"/>
      <c r="L195" s="90"/>
      <c r="M195" s="69"/>
      <c r="N195" s="179"/>
    </row>
    <row r="196" spans="1:17" x14ac:dyDescent="0.25">
      <c r="A196" s="62">
        <f t="shared" si="10"/>
        <v>189</v>
      </c>
      <c r="B196" s="91" t="s">
        <v>194</v>
      </c>
      <c r="C196" s="235">
        <f t="shared" si="11"/>
        <v>0</v>
      </c>
      <c r="D196" s="89">
        <f t="shared" si="12"/>
        <v>0</v>
      </c>
      <c r="E196" s="95">
        <f>3-1.5-1.5</f>
        <v>0</v>
      </c>
      <c r="F196" s="179"/>
      <c r="G196" s="69"/>
      <c r="H196" s="267"/>
      <c r="I196" s="104"/>
      <c r="J196" s="89"/>
      <c r="K196" s="116"/>
      <c r="L196" s="90"/>
      <c r="M196" s="69"/>
      <c r="N196" s="179"/>
    </row>
    <row r="197" spans="1:17" x14ac:dyDescent="0.25">
      <c r="A197" s="62">
        <f t="shared" si="10"/>
        <v>190</v>
      </c>
      <c r="B197" s="88" t="s">
        <v>195</v>
      </c>
      <c r="C197" s="235">
        <f t="shared" si="11"/>
        <v>400</v>
      </c>
      <c r="D197" s="89">
        <f t="shared" si="12"/>
        <v>258.09563000000003</v>
      </c>
      <c r="E197" s="189">
        <v>400</v>
      </c>
      <c r="F197" s="268">
        <v>258.09563000000003</v>
      </c>
      <c r="G197" s="69"/>
      <c r="H197" s="267"/>
      <c r="I197" s="104"/>
      <c r="J197" s="89"/>
      <c r="K197" s="116"/>
      <c r="L197" s="90"/>
      <c r="M197" s="69"/>
      <c r="N197" s="179"/>
    </row>
    <row r="198" spans="1:17" x14ac:dyDescent="0.25">
      <c r="A198" s="62">
        <f t="shared" si="10"/>
        <v>191</v>
      </c>
      <c r="B198" s="131" t="s">
        <v>196</v>
      </c>
      <c r="C198" s="235">
        <f t="shared" si="11"/>
        <v>2607.02421</v>
      </c>
      <c r="D198" s="89">
        <f t="shared" si="12"/>
        <v>2585.5748000000003</v>
      </c>
      <c r="E198" s="95">
        <f>103.92421+7.8+1.5</f>
        <v>113.22421</v>
      </c>
      <c r="F198" s="194">
        <v>113.10451</v>
      </c>
      <c r="G198" s="69">
        <v>2493.8000000000002</v>
      </c>
      <c r="H198" s="267">
        <v>2472.4702900000002</v>
      </c>
      <c r="I198" s="104"/>
      <c r="J198" s="89"/>
      <c r="K198" s="116"/>
      <c r="L198" s="90"/>
      <c r="M198" s="69"/>
      <c r="N198" s="179"/>
    </row>
    <row r="199" spans="1:17" x14ac:dyDescent="0.25">
      <c r="A199" s="62">
        <f t="shared" si="10"/>
        <v>192</v>
      </c>
      <c r="B199" s="88" t="s">
        <v>197</v>
      </c>
      <c r="C199" s="235">
        <f t="shared" si="11"/>
        <v>80</v>
      </c>
      <c r="D199" s="89">
        <f t="shared" si="12"/>
        <v>79.991140000000001</v>
      </c>
      <c r="E199" s="116">
        <v>80</v>
      </c>
      <c r="F199" s="191">
        <v>79.991140000000001</v>
      </c>
      <c r="G199" s="235"/>
      <c r="H199" s="191"/>
      <c r="I199" s="104"/>
      <c r="J199" s="191"/>
      <c r="K199" s="116"/>
      <c r="L199" s="259"/>
      <c r="M199" s="69"/>
      <c r="N199" s="179"/>
    </row>
    <row r="200" spans="1:17" x14ac:dyDescent="0.25">
      <c r="A200" s="60">
        <f t="shared" si="10"/>
        <v>193</v>
      </c>
      <c r="B200" s="96" t="s">
        <v>355</v>
      </c>
      <c r="C200" s="65">
        <f t="shared" si="11"/>
        <v>170.25799999999998</v>
      </c>
      <c r="D200" s="182">
        <f t="shared" si="12"/>
        <v>150.63526999999999</v>
      </c>
      <c r="E200" s="100">
        <f>SUM(E201:E203)</f>
        <v>170.25799999999998</v>
      </c>
      <c r="F200" s="100">
        <f>SUM(F201:F203)</f>
        <v>150.63526999999999</v>
      </c>
      <c r="G200" s="104"/>
      <c r="H200" s="191"/>
      <c r="I200" s="104"/>
      <c r="J200" s="191"/>
      <c r="K200" s="116"/>
      <c r="L200" s="259"/>
      <c r="M200" s="69"/>
      <c r="N200" s="179"/>
    </row>
    <row r="201" spans="1:17" ht="26.25" x14ac:dyDescent="0.25">
      <c r="A201" s="62">
        <f t="shared" si="10"/>
        <v>194</v>
      </c>
      <c r="B201" s="91" t="s">
        <v>206</v>
      </c>
      <c r="C201" s="235">
        <f t="shared" si="11"/>
        <v>74.5</v>
      </c>
      <c r="D201" s="89">
        <f t="shared" si="12"/>
        <v>55.271940000000001</v>
      </c>
      <c r="E201" s="116">
        <v>74.5</v>
      </c>
      <c r="F201" s="89">
        <v>55.271940000000001</v>
      </c>
      <c r="G201" s="104"/>
      <c r="H201" s="89"/>
      <c r="I201" s="104"/>
      <c r="J201" s="89"/>
      <c r="K201" s="116"/>
      <c r="L201" s="90"/>
      <c r="M201" s="69"/>
      <c r="N201" s="179"/>
    </row>
    <row r="202" spans="1:17" ht="25.5" x14ac:dyDescent="0.25">
      <c r="A202" s="62">
        <f t="shared" ref="A202:A235" si="14">A201+1</f>
        <v>195</v>
      </c>
      <c r="B202" s="93" t="s">
        <v>207</v>
      </c>
      <c r="C202" s="235">
        <f t="shared" ref="C202:C234" si="15">E202+G202+I202+K202+M202</f>
        <v>45.757999999999996</v>
      </c>
      <c r="D202" s="89">
        <f t="shared" si="12"/>
        <v>45.363329999999998</v>
      </c>
      <c r="E202" s="95">
        <f>95-24-25.242</f>
        <v>45.757999999999996</v>
      </c>
      <c r="F202" s="89">
        <v>45.363329999999998</v>
      </c>
      <c r="G202" s="104"/>
      <c r="H202" s="89"/>
      <c r="I202" s="104"/>
      <c r="J202" s="89"/>
      <c r="K202" s="116"/>
      <c r="L202" s="90"/>
      <c r="M202" s="69"/>
      <c r="N202" s="179"/>
    </row>
    <row r="203" spans="1:17" x14ac:dyDescent="0.25">
      <c r="A203" s="62">
        <f t="shared" si="14"/>
        <v>196</v>
      </c>
      <c r="B203" s="93" t="s">
        <v>208</v>
      </c>
      <c r="C203" s="235">
        <f t="shared" si="15"/>
        <v>50</v>
      </c>
      <c r="D203" s="89">
        <f t="shared" si="12"/>
        <v>50</v>
      </c>
      <c r="E203" s="116">
        <v>50</v>
      </c>
      <c r="F203" s="89">
        <v>50</v>
      </c>
      <c r="G203" s="104"/>
      <c r="H203" s="89"/>
      <c r="I203" s="104"/>
      <c r="J203" s="89"/>
      <c r="K203" s="116"/>
      <c r="L203" s="90"/>
      <c r="M203" s="69"/>
      <c r="N203" s="179"/>
    </row>
    <row r="204" spans="1:17" x14ac:dyDescent="0.25">
      <c r="A204" s="60">
        <f t="shared" si="14"/>
        <v>197</v>
      </c>
      <c r="B204" s="48" t="s">
        <v>317</v>
      </c>
      <c r="C204" s="65">
        <f t="shared" si="15"/>
        <v>1.617</v>
      </c>
      <c r="D204" s="182"/>
      <c r="E204" s="100">
        <v>1.617</v>
      </c>
      <c r="F204" s="182"/>
      <c r="G204" s="104"/>
      <c r="H204" s="89"/>
      <c r="I204" s="104"/>
      <c r="J204" s="89"/>
      <c r="K204" s="116"/>
      <c r="L204" s="90"/>
      <c r="M204" s="69"/>
      <c r="N204" s="179"/>
    </row>
    <row r="205" spans="1:17" x14ac:dyDescent="0.25">
      <c r="A205" s="62">
        <f t="shared" si="14"/>
        <v>198</v>
      </c>
      <c r="B205" s="132" t="s">
        <v>187</v>
      </c>
      <c r="C205" s="235">
        <f t="shared" si="15"/>
        <v>1.617</v>
      </c>
      <c r="D205" s="89"/>
      <c r="E205" s="116">
        <v>1.617</v>
      </c>
      <c r="F205" s="89"/>
      <c r="G205" s="104"/>
      <c r="H205" s="89"/>
      <c r="I205" s="104"/>
      <c r="J205" s="89"/>
      <c r="K205" s="116"/>
      <c r="L205" s="90"/>
      <c r="M205" s="69"/>
      <c r="N205" s="179"/>
    </row>
    <row r="206" spans="1:17" x14ac:dyDescent="0.25">
      <c r="A206" s="60">
        <f t="shared" si="14"/>
        <v>199</v>
      </c>
      <c r="B206" s="96" t="s">
        <v>265</v>
      </c>
      <c r="C206" s="65">
        <f t="shared" si="15"/>
        <v>71.180000000000007</v>
      </c>
      <c r="D206" s="182">
        <f t="shared" ref="D206:D234" si="16">F206+H206+J206+L206</f>
        <v>55.68</v>
      </c>
      <c r="E206" s="100">
        <f>64.68+6</f>
        <v>70.680000000000007</v>
      </c>
      <c r="F206" s="182">
        <v>55.68</v>
      </c>
      <c r="G206" s="104"/>
      <c r="H206" s="89"/>
      <c r="I206" s="104"/>
      <c r="J206" s="89"/>
      <c r="K206" s="100">
        <v>0.5</v>
      </c>
      <c r="L206" s="90"/>
      <c r="M206" s="69"/>
      <c r="N206" s="179"/>
      <c r="O206" s="141"/>
      <c r="P206" s="141"/>
      <c r="Q206" s="141"/>
    </row>
    <row r="207" spans="1:17" x14ac:dyDescent="0.25">
      <c r="A207" s="60">
        <f t="shared" si="14"/>
        <v>200</v>
      </c>
      <c r="B207" s="96" t="s">
        <v>266</v>
      </c>
      <c r="C207" s="65">
        <f t="shared" si="15"/>
        <v>42.941000000000003</v>
      </c>
      <c r="D207" s="182">
        <f t="shared" si="16"/>
        <v>42.941000000000003</v>
      </c>
      <c r="E207" s="100">
        <f>19.941+22+1</f>
        <v>42.941000000000003</v>
      </c>
      <c r="F207" s="182">
        <v>42.941000000000003</v>
      </c>
      <c r="G207" s="104"/>
      <c r="H207" s="89"/>
      <c r="I207" s="104"/>
      <c r="J207" s="89"/>
      <c r="K207" s="100"/>
      <c r="L207" s="99"/>
      <c r="M207" s="69"/>
      <c r="N207" s="179"/>
      <c r="O207" s="141"/>
      <c r="P207" s="141"/>
    </row>
    <row r="208" spans="1:17" x14ac:dyDescent="0.25">
      <c r="A208" s="60">
        <f t="shared" si="14"/>
        <v>201</v>
      </c>
      <c r="B208" s="96" t="s">
        <v>267</v>
      </c>
      <c r="C208" s="65">
        <f t="shared" si="15"/>
        <v>57.357999999999997</v>
      </c>
      <c r="D208" s="182">
        <f t="shared" si="16"/>
        <v>54.251620000000003</v>
      </c>
      <c r="E208" s="100">
        <v>54.357999999999997</v>
      </c>
      <c r="F208" s="182">
        <v>54.251620000000003</v>
      </c>
      <c r="G208" s="104"/>
      <c r="H208" s="89"/>
      <c r="I208" s="104"/>
      <c r="J208" s="89"/>
      <c r="K208" s="100">
        <v>3</v>
      </c>
      <c r="L208" s="99"/>
      <c r="M208" s="69"/>
      <c r="N208" s="179"/>
      <c r="P208" s="141"/>
    </row>
    <row r="209" spans="1:16" x14ac:dyDescent="0.25">
      <c r="A209" s="60">
        <f t="shared" si="14"/>
        <v>202</v>
      </c>
      <c r="B209" s="96" t="s">
        <v>268</v>
      </c>
      <c r="C209" s="65">
        <f t="shared" si="15"/>
        <v>5.69</v>
      </c>
      <c r="D209" s="182">
        <f t="shared" si="16"/>
        <v>5.6330499999999999</v>
      </c>
      <c r="E209" s="100">
        <v>5.69</v>
      </c>
      <c r="F209" s="182">
        <v>5.6330499999999999</v>
      </c>
      <c r="G209" s="104"/>
      <c r="H209" s="89"/>
      <c r="I209" s="104"/>
      <c r="J209" s="89"/>
      <c r="K209" s="100"/>
      <c r="L209" s="99"/>
      <c r="M209" s="69"/>
      <c r="N209" s="179"/>
    </row>
    <row r="210" spans="1:16" x14ac:dyDescent="0.25">
      <c r="A210" s="60">
        <f t="shared" si="14"/>
        <v>203</v>
      </c>
      <c r="B210" s="96" t="s">
        <v>269</v>
      </c>
      <c r="C210" s="65">
        <f t="shared" si="15"/>
        <v>34.021999999999998</v>
      </c>
      <c r="D210" s="182">
        <f t="shared" si="16"/>
        <v>33.924610000000001</v>
      </c>
      <c r="E210" s="100">
        <f>49.022-15</f>
        <v>34.021999999999998</v>
      </c>
      <c r="F210" s="182">
        <v>33.924610000000001</v>
      </c>
      <c r="G210" s="104"/>
      <c r="H210" s="89"/>
      <c r="I210" s="104"/>
      <c r="J210" s="89"/>
      <c r="K210" s="100"/>
      <c r="L210" s="99"/>
      <c r="M210" s="69"/>
      <c r="N210" s="179"/>
    </row>
    <row r="211" spans="1:16" x14ac:dyDescent="0.25">
      <c r="A211" s="60">
        <f t="shared" si="14"/>
        <v>204</v>
      </c>
      <c r="B211" s="96" t="s">
        <v>270</v>
      </c>
      <c r="C211" s="65">
        <f t="shared" si="15"/>
        <v>85.594000000000008</v>
      </c>
      <c r="D211" s="182">
        <f t="shared" si="16"/>
        <v>85.593999999999994</v>
      </c>
      <c r="E211" s="100">
        <f>79.394+5.5+0.7</f>
        <v>85.594000000000008</v>
      </c>
      <c r="F211" s="182">
        <v>85.593999999999994</v>
      </c>
      <c r="G211" s="104"/>
      <c r="H211" s="89"/>
      <c r="I211" s="104"/>
      <c r="J211" s="89"/>
      <c r="K211" s="100"/>
      <c r="L211" s="99"/>
      <c r="M211" s="69"/>
      <c r="N211" s="179"/>
    </row>
    <row r="212" spans="1:16" x14ac:dyDescent="0.25">
      <c r="A212" s="60">
        <f t="shared" si="14"/>
        <v>205</v>
      </c>
      <c r="B212" s="96" t="s">
        <v>326</v>
      </c>
      <c r="C212" s="65">
        <f t="shared" si="15"/>
        <v>132.50299999999999</v>
      </c>
      <c r="D212" s="182">
        <f t="shared" si="16"/>
        <v>132.5026</v>
      </c>
      <c r="E212" s="100">
        <f>107.503+25</f>
        <v>132.50299999999999</v>
      </c>
      <c r="F212" s="182">
        <v>132.5026</v>
      </c>
      <c r="G212" s="104"/>
      <c r="H212" s="89"/>
      <c r="I212" s="104"/>
      <c r="J212" s="89"/>
      <c r="K212" s="100"/>
      <c r="L212" s="99"/>
      <c r="M212" s="69"/>
      <c r="N212" s="179"/>
    </row>
    <row r="213" spans="1:16" x14ac:dyDescent="0.25">
      <c r="A213" s="60">
        <f t="shared" si="14"/>
        <v>206</v>
      </c>
      <c r="B213" s="96" t="s">
        <v>272</v>
      </c>
      <c r="C213" s="65">
        <f t="shared" si="15"/>
        <v>13.24</v>
      </c>
      <c r="D213" s="182">
        <f t="shared" si="16"/>
        <v>13.24</v>
      </c>
      <c r="E213" s="100">
        <v>13.24</v>
      </c>
      <c r="F213" s="182">
        <v>13.24</v>
      </c>
      <c r="G213" s="104"/>
      <c r="H213" s="89"/>
      <c r="I213" s="104"/>
      <c r="J213" s="89"/>
      <c r="K213" s="100"/>
      <c r="L213" s="99"/>
      <c r="M213" s="69"/>
      <c r="N213" s="179"/>
    </row>
    <row r="214" spans="1:16" x14ac:dyDescent="0.25">
      <c r="A214" s="60">
        <f t="shared" si="14"/>
        <v>207</v>
      </c>
      <c r="B214" s="133" t="s">
        <v>273</v>
      </c>
      <c r="C214" s="65">
        <f t="shared" si="15"/>
        <v>52.171999999999997</v>
      </c>
      <c r="D214" s="182">
        <f t="shared" si="16"/>
        <v>52.171419999999998</v>
      </c>
      <c r="E214" s="100">
        <f>59.622-2.2-6+0.75</f>
        <v>52.171999999999997</v>
      </c>
      <c r="F214" s="182">
        <v>52.171419999999998</v>
      </c>
      <c r="G214" s="104"/>
      <c r="H214" s="89"/>
      <c r="I214" s="104"/>
      <c r="J214" s="89"/>
      <c r="K214" s="100"/>
      <c r="L214" s="99"/>
      <c r="M214" s="69"/>
      <c r="N214" s="179"/>
    </row>
    <row r="215" spans="1:16" ht="15.75" thickBot="1" x14ac:dyDescent="0.3">
      <c r="A215" s="78">
        <f t="shared" si="14"/>
        <v>208</v>
      </c>
      <c r="B215" s="134" t="s">
        <v>274</v>
      </c>
      <c r="C215" s="269">
        <f t="shared" si="15"/>
        <v>533.91099999999994</v>
      </c>
      <c r="D215" s="197">
        <f t="shared" si="16"/>
        <v>529.33425999999997</v>
      </c>
      <c r="E215" s="201">
        <v>533.91099999999994</v>
      </c>
      <c r="F215" s="198">
        <v>529.33425999999997</v>
      </c>
      <c r="G215" s="190"/>
      <c r="H215" s="215"/>
      <c r="I215" s="190"/>
      <c r="J215" s="215"/>
      <c r="K215" s="201"/>
      <c r="L215" s="202"/>
      <c r="M215" s="203"/>
      <c r="N215" s="204"/>
    </row>
    <row r="216" spans="1:16" ht="36.75" customHeight="1" thickBot="1" x14ac:dyDescent="0.3">
      <c r="A216" s="51">
        <f t="shared" si="14"/>
        <v>209</v>
      </c>
      <c r="B216" s="135" t="s">
        <v>356</v>
      </c>
      <c r="C216" s="283">
        <f t="shared" si="15"/>
        <v>2202.4377500000001</v>
      </c>
      <c r="D216" s="283">
        <f t="shared" si="16"/>
        <v>2193.2392799999998</v>
      </c>
      <c r="E216" s="125">
        <f>E217+E219+E225+E231+E233</f>
        <v>1857.38546</v>
      </c>
      <c r="F216" s="125">
        <f>F217+F219+F225+F231+F233</f>
        <v>1848.22363</v>
      </c>
      <c r="G216" s="125">
        <f>G217+G219+G225+G231</f>
        <v>345.05228999999997</v>
      </c>
      <c r="H216" s="125">
        <f>H217+H219+H225+H231</f>
        <v>345.01564999999999</v>
      </c>
      <c r="I216" s="263"/>
      <c r="J216" s="270"/>
      <c r="K216" s="125"/>
      <c r="L216" s="83"/>
      <c r="M216" s="271"/>
      <c r="N216" s="234"/>
      <c r="O216" s="141"/>
      <c r="P216" s="141"/>
    </row>
    <row r="217" spans="1:16" x14ac:dyDescent="0.25">
      <c r="A217" s="60">
        <f t="shared" si="14"/>
        <v>210</v>
      </c>
      <c r="B217" s="136" t="s">
        <v>145</v>
      </c>
      <c r="C217" s="65">
        <f t="shared" si="15"/>
        <v>80</v>
      </c>
      <c r="D217" s="175">
        <f t="shared" si="16"/>
        <v>80</v>
      </c>
      <c r="E217" s="114">
        <f>E218</f>
        <v>80</v>
      </c>
      <c r="F217" s="114">
        <f>F218</f>
        <v>80</v>
      </c>
      <c r="G217" s="239"/>
      <c r="H217" s="272"/>
      <c r="I217" s="273"/>
      <c r="J217" s="241"/>
      <c r="K217" s="239"/>
      <c r="L217" s="240"/>
      <c r="M217" s="274"/>
      <c r="N217" s="275"/>
    </row>
    <row r="218" spans="1:16" x14ac:dyDescent="0.25">
      <c r="A218" s="62">
        <f t="shared" si="14"/>
        <v>211</v>
      </c>
      <c r="B218" s="63" t="s">
        <v>151</v>
      </c>
      <c r="C218" s="235">
        <f t="shared" si="15"/>
        <v>80</v>
      </c>
      <c r="D218" s="90">
        <f t="shared" si="16"/>
        <v>80</v>
      </c>
      <c r="E218" s="235">
        <v>80</v>
      </c>
      <c r="F218" s="236">
        <v>80</v>
      </c>
      <c r="G218" s="65"/>
      <c r="H218" s="276"/>
      <c r="I218" s="189"/>
      <c r="J218" s="237"/>
      <c r="K218" s="235"/>
      <c r="L218" s="236"/>
      <c r="M218" s="69"/>
      <c r="N218" s="179"/>
    </row>
    <row r="219" spans="1:16" x14ac:dyDescent="0.25">
      <c r="A219" s="60">
        <f t="shared" si="14"/>
        <v>212</v>
      </c>
      <c r="B219" s="71" t="s">
        <v>357</v>
      </c>
      <c r="C219" s="65">
        <f t="shared" si="15"/>
        <v>495.54146000000003</v>
      </c>
      <c r="D219" s="99">
        <f t="shared" si="16"/>
        <v>494.22998000000007</v>
      </c>
      <c r="E219" s="66">
        <f>SUM(E220:E224)</f>
        <v>189.54846000000001</v>
      </c>
      <c r="F219" s="66">
        <f>SUM(F220:F224)</f>
        <v>188.27362000000002</v>
      </c>
      <c r="G219" s="66">
        <f>SUM(G220:G223)</f>
        <v>305.99299999999999</v>
      </c>
      <c r="H219" s="294">
        <f>SUM(H220:H223)</f>
        <v>305.95636000000002</v>
      </c>
      <c r="I219" s="116"/>
      <c r="J219" s="90"/>
      <c r="K219" s="104"/>
      <c r="L219" s="89"/>
      <c r="M219" s="69"/>
      <c r="N219" s="179"/>
    </row>
    <row r="220" spans="1:16" x14ac:dyDescent="0.25">
      <c r="A220" s="62">
        <f t="shared" si="14"/>
        <v>213</v>
      </c>
      <c r="B220" s="63" t="s">
        <v>222</v>
      </c>
      <c r="C220" s="235">
        <f t="shared" si="15"/>
        <v>287</v>
      </c>
      <c r="D220" s="90">
        <f t="shared" si="16"/>
        <v>287</v>
      </c>
      <c r="E220" s="104"/>
      <c r="F220" s="89"/>
      <c r="G220" s="69">
        <v>287</v>
      </c>
      <c r="H220" s="179">
        <v>287</v>
      </c>
      <c r="I220" s="116"/>
      <c r="J220" s="90"/>
      <c r="K220" s="104"/>
      <c r="L220" s="89"/>
      <c r="M220" s="69"/>
      <c r="N220" s="179"/>
    </row>
    <row r="221" spans="1:16" x14ac:dyDescent="0.25">
      <c r="A221" s="62">
        <f t="shared" si="14"/>
        <v>214</v>
      </c>
      <c r="B221" s="63" t="s">
        <v>223</v>
      </c>
      <c r="C221" s="235">
        <f t="shared" si="15"/>
        <v>120</v>
      </c>
      <c r="D221" s="90">
        <f t="shared" si="16"/>
        <v>118.72516</v>
      </c>
      <c r="E221" s="69">
        <v>120</v>
      </c>
      <c r="F221" s="179">
        <v>118.72516</v>
      </c>
      <c r="G221" s="69"/>
      <c r="H221" s="179"/>
      <c r="I221" s="116"/>
      <c r="J221" s="90"/>
      <c r="K221" s="104"/>
      <c r="L221" s="89"/>
      <c r="M221" s="69"/>
      <c r="N221" s="179"/>
    </row>
    <row r="222" spans="1:16" ht="26.25" x14ac:dyDescent="0.25">
      <c r="A222" s="62">
        <f t="shared" si="14"/>
        <v>215</v>
      </c>
      <c r="B222" s="70" t="s">
        <v>224</v>
      </c>
      <c r="C222" s="235">
        <f t="shared" si="15"/>
        <v>59.672460000000001</v>
      </c>
      <c r="D222" s="90">
        <f t="shared" si="16"/>
        <v>59.672460000000001</v>
      </c>
      <c r="E222" s="69">
        <v>59.672460000000001</v>
      </c>
      <c r="F222" s="179">
        <v>59.672460000000001</v>
      </c>
      <c r="G222" s="77"/>
      <c r="H222" s="277"/>
      <c r="I222" s="116"/>
      <c r="J222" s="90"/>
      <c r="K222" s="104"/>
      <c r="L222" s="89"/>
      <c r="M222" s="69"/>
      <c r="N222" s="179"/>
    </row>
    <row r="223" spans="1:16" x14ac:dyDescent="0.25">
      <c r="A223" s="62">
        <f t="shared" si="14"/>
        <v>216</v>
      </c>
      <c r="B223" s="70" t="s">
        <v>57</v>
      </c>
      <c r="C223" s="235">
        <f t="shared" si="15"/>
        <v>18.992999999999999</v>
      </c>
      <c r="D223" s="90">
        <f t="shared" si="16"/>
        <v>18.95636</v>
      </c>
      <c r="E223" s="278"/>
      <c r="F223" s="179"/>
      <c r="G223" s="278">
        <v>18.992999999999999</v>
      </c>
      <c r="H223" s="267">
        <v>18.95636</v>
      </c>
      <c r="I223" s="116"/>
      <c r="J223" s="90"/>
      <c r="K223" s="104"/>
      <c r="L223" s="89"/>
      <c r="M223" s="69"/>
      <c r="N223" s="179"/>
    </row>
    <row r="224" spans="1:16" x14ac:dyDescent="0.25">
      <c r="A224" s="62">
        <f t="shared" si="14"/>
        <v>217</v>
      </c>
      <c r="B224" s="70" t="s">
        <v>225</v>
      </c>
      <c r="C224" s="235">
        <f t="shared" si="15"/>
        <v>9.8759999999999994</v>
      </c>
      <c r="D224" s="90">
        <f t="shared" si="16"/>
        <v>9.8759999999999994</v>
      </c>
      <c r="E224" s="185">
        <v>9.8759999999999994</v>
      </c>
      <c r="F224" s="277">
        <v>9.8759999999999994</v>
      </c>
      <c r="G224" s="185"/>
      <c r="H224" s="279"/>
      <c r="I224" s="116"/>
      <c r="J224" s="90"/>
      <c r="K224" s="104"/>
      <c r="L224" s="89"/>
      <c r="M224" s="69"/>
      <c r="N224" s="179"/>
    </row>
    <row r="225" spans="1:16" x14ac:dyDescent="0.25">
      <c r="A225" s="60">
        <f t="shared" si="14"/>
        <v>218</v>
      </c>
      <c r="B225" s="64" t="s">
        <v>355</v>
      </c>
      <c r="C225" s="65">
        <f t="shared" si="15"/>
        <v>1305.0592899999999</v>
      </c>
      <c r="D225" s="99">
        <f t="shared" si="16"/>
        <v>1297.1723</v>
      </c>
      <c r="E225" s="66">
        <f>SUM(E226:E230)</f>
        <v>1266</v>
      </c>
      <c r="F225" s="66">
        <f>SUM(F226:F230)</f>
        <v>1258.11301</v>
      </c>
      <c r="G225" s="417">
        <f t="shared" ref="G225:H225" si="17">SUM(G226:G230)</f>
        <v>39.059289999999997</v>
      </c>
      <c r="H225" s="183">
        <f t="shared" si="17"/>
        <v>39.059289999999997</v>
      </c>
      <c r="I225" s="116"/>
      <c r="J225" s="90"/>
      <c r="K225" s="104"/>
      <c r="L225" s="89"/>
      <c r="M225" s="69"/>
      <c r="N225" s="179"/>
    </row>
    <row r="226" spans="1:16" x14ac:dyDescent="0.25">
      <c r="A226" s="62">
        <f t="shared" si="14"/>
        <v>219</v>
      </c>
      <c r="B226" s="73" t="s">
        <v>209</v>
      </c>
      <c r="C226" s="235">
        <f t="shared" si="15"/>
        <v>10</v>
      </c>
      <c r="D226" s="90">
        <f t="shared" si="16"/>
        <v>2.1130100000000001</v>
      </c>
      <c r="E226" s="104">
        <v>10</v>
      </c>
      <c r="F226" s="89">
        <v>2.1130100000000001</v>
      </c>
      <c r="G226" s="104"/>
      <c r="H226" s="89"/>
      <c r="I226" s="116"/>
      <c r="J226" s="90"/>
      <c r="K226" s="184"/>
      <c r="L226" s="89"/>
      <c r="M226" s="69"/>
      <c r="N226" s="179"/>
    </row>
    <row r="227" spans="1:16" x14ac:dyDescent="0.25">
      <c r="A227" s="62">
        <f t="shared" si="14"/>
        <v>220</v>
      </c>
      <c r="B227" s="73" t="s">
        <v>358</v>
      </c>
      <c r="C227" s="235">
        <f t="shared" si="15"/>
        <v>1010</v>
      </c>
      <c r="D227" s="90">
        <f t="shared" si="16"/>
        <v>1010</v>
      </c>
      <c r="E227" s="280">
        <f>800+30+180</f>
        <v>1010</v>
      </c>
      <c r="F227" s="215">
        <v>1010</v>
      </c>
      <c r="G227" s="190"/>
      <c r="H227" s="215"/>
      <c r="I227" s="186"/>
      <c r="J227" s="216"/>
      <c r="K227" s="190"/>
      <c r="L227" s="215"/>
      <c r="M227" s="69"/>
      <c r="N227" s="179"/>
    </row>
    <row r="228" spans="1:16" ht="26.25" x14ac:dyDescent="0.25">
      <c r="A228" s="62">
        <f t="shared" si="14"/>
        <v>221</v>
      </c>
      <c r="B228" s="137" t="s">
        <v>76</v>
      </c>
      <c r="C228" s="235">
        <f t="shared" si="15"/>
        <v>7.6724999999999994</v>
      </c>
      <c r="D228" s="90">
        <f t="shared" si="16"/>
        <v>7.6725000000000003</v>
      </c>
      <c r="E228" s="280"/>
      <c r="F228" s="215"/>
      <c r="G228" s="69">
        <f>1.116+6.5565</f>
        <v>7.6724999999999994</v>
      </c>
      <c r="H228" s="215">
        <v>7.6725000000000003</v>
      </c>
      <c r="I228" s="186"/>
      <c r="J228" s="216"/>
      <c r="K228" s="190"/>
      <c r="L228" s="215"/>
      <c r="M228" s="69"/>
      <c r="N228" s="179"/>
    </row>
    <row r="229" spans="1:16" ht="26.25" x14ac:dyDescent="0.25">
      <c r="A229" s="62">
        <f t="shared" si="14"/>
        <v>222</v>
      </c>
      <c r="B229" s="137" t="s">
        <v>84</v>
      </c>
      <c r="C229" s="235">
        <f t="shared" si="15"/>
        <v>16.495069999999998</v>
      </c>
      <c r="D229" s="90">
        <f t="shared" si="16"/>
        <v>16.495069999999998</v>
      </c>
      <c r="E229" s="280"/>
      <c r="F229" s="215"/>
      <c r="G229" s="69">
        <v>16.495069999999998</v>
      </c>
      <c r="H229" s="215">
        <v>16.495069999999998</v>
      </c>
      <c r="I229" s="186"/>
      <c r="J229" s="216"/>
      <c r="K229" s="190"/>
      <c r="L229" s="215"/>
      <c r="M229" s="69"/>
      <c r="N229" s="179"/>
    </row>
    <row r="230" spans="1:16" x14ac:dyDescent="0.25">
      <c r="A230" s="62">
        <f t="shared" si="14"/>
        <v>223</v>
      </c>
      <c r="B230" s="63" t="s">
        <v>211</v>
      </c>
      <c r="C230" s="235">
        <f t="shared" si="15"/>
        <v>260.89172000000002</v>
      </c>
      <c r="D230" s="90">
        <f t="shared" si="16"/>
        <v>260.89172000000002</v>
      </c>
      <c r="E230" s="280">
        <v>246</v>
      </c>
      <c r="F230" s="215">
        <v>246</v>
      </c>
      <c r="G230" s="69">
        <v>14.891719999999999</v>
      </c>
      <c r="H230" s="215">
        <v>14.891719999999999</v>
      </c>
      <c r="I230" s="186"/>
      <c r="J230" s="216"/>
      <c r="K230" s="190"/>
      <c r="L230" s="215"/>
      <c r="M230" s="69"/>
      <c r="N230" s="179"/>
    </row>
    <row r="231" spans="1:16" x14ac:dyDescent="0.25">
      <c r="A231" s="60">
        <f t="shared" si="14"/>
        <v>224</v>
      </c>
      <c r="B231" s="71" t="s">
        <v>317</v>
      </c>
      <c r="C231" s="65">
        <f t="shared" si="15"/>
        <v>306.41700000000003</v>
      </c>
      <c r="D231" s="99">
        <f t="shared" si="16"/>
        <v>306.41699999999997</v>
      </c>
      <c r="E231" s="181">
        <f>E232</f>
        <v>306.41700000000003</v>
      </c>
      <c r="F231" s="181">
        <f>F232</f>
        <v>306.41699999999997</v>
      </c>
      <c r="G231" s="190"/>
      <c r="H231" s="215"/>
      <c r="I231" s="186"/>
      <c r="J231" s="216"/>
      <c r="K231" s="190"/>
      <c r="L231" s="215"/>
      <c r="M231" s="69"/>
      <c r="N231" s="179"/>
    </row>
    <row r="232" spans="1:16" x14ac:dyDescent="0.25">
      <c r="A232" s="62">
        <f t="shared" si="14"/>
        <v>225</v>
      </c>
      <c r="B232" s="74" t="s">
        <v>359</v>
      </c>
      <c r="C232" s="235">
        <f t="shared" si="15"/>
        <v>306.41700000000003</v>
      </c>
      <c r="D232" s="90">
        <f t="shared" si="16"/>
        <v>306.41699999999997</v>
      </c>
      <c r="E232" s="190">
        <f>420-113.583</f>
        <v>306.41700000000003</v>
      </c>
      <c r="F232" s="215">
        <v>306.41699999999997</v>
      </c>
      <c r="G232" s="190"/>
      <c r="H232" s="215"/>
      <c r="I232" s="186"/>
      <c r="J232" s="216"/>
      <c r="K232" s="190"/>
      <c r="L232" s="215"/>
      <c r="M232" s="203"/>
      <c r="N232" s="204"/>
    </row>
    <row r="233" spans="1:16" x14ac:dyDescent="0.25">
      <c r="A233" s="60">
        <f t="shared" si="14"/>
        <v>226</v>
      </c>
      <c r="B233" s="76" t="s">
        <v>320</v>
      </c>
      <c r="C233" s="65">
        <f t="shared" si="15"/>
        <v>15.42</v>
      </c>
      <c r="D233" s="99">
        <f t="shared" si="16"/>
        <v>15.42</v>
      </c>
      <c r="E233" s="67">
        <f>E234</f>
        <v>15.42</v>
      </c>
      <c r="F233" s="67">
        <f>F234</f>
        <v>15.42</v>
      </c>
      <c r="G233" s="69"/>
      <c r="H233" s="179"/>
      <c r="I233" s="95"/>
      <c r="J233" s="217"/>
      <c r="K233" s="69"/>
      <c r="L233" s="179"/>
      <c r="M233" s="69"/>
      <c r="N233" s="179"/>
      <c r="O233" s="141"/>
      <c r="P233" s="141"/>
    </row>
    <row r="234" spans="1:16" ht="15.75" thickBot="1" x14ac:dyDescent="0.3">
      <c r="A234" s="138">
        <f t="shared" si="14"/>
        <v>227</v>
      </c>
      <c r="B234" s="139" t="s">
        <v>360</v>
      </c>
      <c r="C234" s="142">
        <f t="shared" si="15"/>
        <v>15.42</v>
      </c>
      <c r="D234" s="202">
        <f t="shared" si="16"/>
        <v>15.42</v>
      </c>
      <c r="E234" s="281">
        <f>15.6-0.18</f>
        <v>15.42</v>
      </c>
      <c r="F234" s="282">
        <v>15.42</v>
      </c>
      <c r="G234" s="281"/>
      <c r="H234" s="282"/>
      <c r="I234" s="210"/>
      <c r="J234" s="214"/>
      <c r="K234" s="281"/>
      <c r="L234" s="282"/>
      <c r="M234" s="281"/>
      <c r="N234" s="282"/>
    </row>
    <row r="235" spans="1:16" ht="15.75" thickBot="1" x14ac:dyDescent="0.3">
      <c r="A235" s="51">
        <f t="shared" si="14"/>
        <v>228</v>
      </c>
      <c r="B235" s="140" t="s">
        <v>361</v>
      </c>
      <c r="C235" s="283">
        <f>E235+G235+I235+K235+M235</f>
        <v>57284.494440000002</v>
      </c>
      <c r="D235" s="283">
        <f>F235+H235+J235+L235+N235</f>
        <v>56571.215650000006</v>
      </c>
      <c r="E235" s="81">
        <f>E8+E50+E104+E142+E189+E216</f>
        <v>31096.52519</v>
      </c>
      <c r="F235" s="82">
        <f t="shared" ref="F235:K235" si="18">F8+F50+F104+F142+F189+F216</f>
        <v>30790.528610000005</v>
      </c>
      <c r="G235" s="81">
        <f t="shared" si="18"/>
        <v>13364.124760000001</v>
      </c>
      <c r="H235" s="82">
        <f t="shared" si="18"/>
        <v>13260.18857</v>
      </c>
      <c r="I235" s="81">
        <f t="shared" si="18"/>
        <v>9682.0999999999985</v>
      </c>
      <c r="J235" s="82">
        <f t="shared" si="18"/>
        <v>9682.0999999999985</v>
      </c>
      <c r="K235" s="81">
        <f t="shared" si="18"/>
        <v>1761.4229999999998</v>
      </c>
      <c r="L235" s="111">
        <f>L8+L50+L104+L142+L189+L216+P237</f>
        <v>1466.8794500000001</v>
      </c>
      <c r="M235" s="81">
        <f>M8+M50+M104+M142+M189+M216+Q237</f>
        <v>1380.3214900000003</v>
      </c>
      <c r="N235" s="283">
        <f>N8+N50+N104+N142+N189+N216+R237</f>
        <v>1371.51902</v>
      </c>
      <c r="O235" s="141"/>
      <c r="P235" s="141"/>
    </row>
    <row r="236" spans="1:16" ht="15.75" x14ac:dyDescent="0.25">
      <c r="A236" s="138"/>
      <c r="B236" s="1" t="s">
        <v>405</v>
      </c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</row>
    <row r="237" spans="1:16" ht="15.75" x14ac:dyDescent="0.25">
      <c r="B237" s="415" t="s">
        <v>406</v>
      </c>
    </row>
    <row r="238" spans="1:16" ht="15.75" x14ac:dyDescent="0.25">
      <c r="B238" s="416" t="s">
        <v>407</v>
      </c>
      <c r="C238" s="141"/>
    </row>
    <row r="239" spans="1:16" ht="15.75" x14ac:dyDescent="0.25">
      <c r="B239" s="1" t="s">
        <v>408</v>
      </c>
    </row>
    <row r="240" spans="1:16" ht="15.75" x14ac:dyDescent="0.25">
      <c r="B240" s="1" t="s">
        <v>409</v>
      </c>
      <c r="M240" s="141"/>
    </row>
    <row r="247" spans="4:4" x14ac:dyDescent="0.25">
      <c r="D247" s="141"/>
    </row>
  </sheetData>
  <mergeCells count="9">
    <mergeCell ref="K6:L6"/>
    <mergeCell ref="M6:N6"/>
    <mergeCell ref="B3:K3"/>
    <mergeCell ref="A6:A7"/>
    <mergeCell ref="B6:B7"/>
    <mergeCell ref="C6:D6"/>
    <mergeCell ref="E6:F6"/>
    <mergeCell ref="G6:H6"/>
    <mergeCell ref="I6:J6"/>
  </mergeCells>
  <pageMargins left="0.23622047244094491" right="3.937007874015748E-2" top="0.35433070866141736" bottom="0.35433070866141736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3958-E328-40E7-9B83-85C47DDEBC4A}">
  <dimension ref="A1:M70"/>
  <sheetViews>
    <sheetView topLeftCell="A9" workbookViewId="0">
      <selection activeCell="O39" sqref="O39"/>
    </sheetView>
  </sheetViews>
  <sheetFormatPr defaultRowHeight="15" x14ac:dyDescent="0.25"/>
  <cols>
    <col min="1" max="1" width="4.5703125" style="160" customWidth="1"/>
    <col min="2" max="2" width="48.140625" style="160" customWidth="1"/>
    <col min="3" max="3" width="10.5703125" style="160" customWidth="1"/>
    <col min="4" max="4" width="15.5703125" style="160" customWidth="1"/>
    <col min="5" max="5" width="13" style="160" customWidth="1"/>
    <col min="6" max="6" width="14.42578125" style="160" customWidth="1"/>
    <col min="7" max="7" width="19" style="160" customWidth="1"/>
    <col min="8" max="8" width="10.5703125" style="160" bestFit="1" customWidth="1"/>
    <col min="9" max="9" width="12.85546875" style="160" customWidth="1"/>
    <col min="10" max="10" width="12.5703125" style="160" customWidth="1"/>
    <col min="11" max="16384" width="9.140625" style="160"/>
  </cols>
  <sheetData>
    <row r="1" spans="1:13" ht="15.75" x14ac:dyDescent="0.25">
      <c r="B1" s="149"/>
      <c r="C1" s="149"/>
      <c r="D1" s="149"/>
      <c r="E1" s="149"/>
      <c r="F1" s="149"/>
      <c r="G1" s="39"/>
    </row>
    <row r="2" spans="1:13" ht="15.75" x14ac:dyDescent="0.25">
      <c r="B2" s="1" t="s">
        <v>411</v>
      </c>
      <c r="C2" s="1"/>
      <c r="D2" s="1"/>
      <c r="E2" s="1"/>
    </row>
    <row r="3" spans="1:13" ht="15.75" x14ac:dyDescent="0.25">
      <c r="B3" s="1" t="s">
        <v>412</v>
      </c>
      <c r="C3" s="1"/>
      <c r="D3" s="1"/>
      <c r="E3" s="1"/>
    </row>
    <row r="4" spans="1:13" ht="15.75" x14ac:dyDescent="0.25">
      <c r="B4" s="149"/>
      <c r="C4" s="149"/>
    </row>
    <row r="5" spans="1:13" ht="16.5" thickBot="1" x14ac:dyDescent="0.3">
      <c r="B5" s="149"/>
      <c r="C5" s="149"/>
      <c r="G5" s="39" t="s">
        <v>410</v>
      </c>
    </row>
    <row r="6" spans="1:13" ht="16.5" customHeight="1" thickBot="1" x14ac:dyDescent="0.3">
      <c r="A6" s="476" t="s">
        <v>364</v>
      </c>
      <c r="B6" s="505" t="s">
        <v>365</v>
      </c>
      <c r="C6" s="499" t="s">
        <v>310</v>
      </c>
      <c r="D6" s="500"/>
      <c r="E6" s="500"/>
      <c r="F6" s="501"/>
      <c r="G6" s="502" t="s">
        <v>309</v>
      </c>
      <c r="H6" s="161"/>
    </row>
    <row r="7" spans="1:13" ht="15" customHeight="1" x14ac:dyDescent="0.25">
      <c r="A7" s="504"/>
      <c r="B7" s="506"/>
      <c r="C7" s="434"/>
      <c r="D7" s="491" t="s">
        <v>366</v>
      </c>
      <c r="E7" s="491" t="s">
        <v>367</v>
      </c>
      <c r="F7" s="493" t="s">
        <v>368</v>
      </c>
      <c r="G7" s="503"/>
    </row>
    <row r="8" spans="1:13" ht="15" customHeight="1" x14ac:dyDescent="0.25">
      <c r="A8" s="504"/>
      <c r="B8" s="506"/>
      <c r="C8" s="435" t="s">
        <v>369</v>
      </c>
      <c r="D8" s="492"/>
      <c r="E8" s="492"/>
      <c r="F8" s="494"/>
      <c r="G8" s="503"/>
    </row>
    <row r="9" spans="1:13" ht="54.75" customHeight="1" thickBot="1" x14ac:dyDescent="0.3">
      <c r="A9" s="504"/>
      <c r="B9" s="506"/>
      <c r="C9" s="435"/>
      <c r="D9" s="492"/>
      <c r="E9" s="492"/>
      <c r="F9" s="495"/>
      <c r="G9" s="503"/>
    </row>
    <row r="10" spans="1:13" ht="15.75" x14ac:dyDescent="0.25">
      <c r="A10" s="425">
        <v>1</v>
      </c>
      <c r="B10" s="426" t="s">
        <v>145</v>
      </c>
      <c r="C10" s="436">
        <v>1</v>
      </c>
      <c r="D10" s="151">
        <v>2.4043999999999999</v>
      </c>
      <c r="E10" s="151"/>
      <c r="F10" s="445"/>
      <c r="G10" s="447">
        <v>0.92</v>
      </c>
      <c r="H10" s="161"/>
    </row>
    <row r="11" spans="1:13" ht="18.75" customHeight="1" x14ac:dyDescent="0.25">
      <c r="A11" s="150">
        <f>A10+1</f>
        <v>2</v>
      </c>
      <c r="B11" s="427" t="s">
        <v>370</v>
      </c>
      <c r="C11" s="437">
        <v>1</v>
      </c>
      <c r="D11" s="151">
        <v>115.00434</v>
      </c>
      <c r="E11" s="151"/>
      <c r="F11" s="445"/>
      <c r="G11" s="446">
        <v>0</v>
      </c>
      <c r="I11" s="161"/>
      <c r="J11" s="161"/>
      <c r="K11" s="161"/>
    </row>
    <row r="12" spans="1:13" ht="21" customHeight="1" x14ac:dyDescent="0.25">
      <c r="A12" s="150">
        <f t="shared" ref="A12:A61" si="0">A11+1</f>
        <v>3</v>
      </c>
      <c r="B12" s="427" t="s">
        <v>371</v>
      </c>
      <c r="C12" s="437">
        <v>4</v>
      </c>
      <c r="D12" s="448">
        <v>19.648540000000001</v>
      </c>
      <c r="E12" s="151"/>
      <c r="F12" s="445"/>
      <c r="G12" s="449">
        <v>19.648540000000001</v>
      </c>
      <c r="I12" s="162"/>
      <c r="J12" s="161"/>
    </row>
    <row r="13" spans="1:13" ht="15.75" x14ac:dyDescent="0.25">
      <c r="A13" s="150">
        <f t="shared" si="0"/>
        <v>4</v>
      </c>
      <c r="B13" s="426" t="s">
        <v>256</v>
      </c>
      <c r="C13" s="436">
        <v>3</v>
      </c>
      <c r="D13" s="448">
        <v>13.215310000000001</v>
      </c>
      <c r="E13" s="151"/>
      <c r="F13" s="445"/>
      <c r="G13" s="449">
        <v>13.215310000000001</v>
      </c>
      <c r="I13" s="161"/>
    </row>
    <row r="14" spans="1:13" ht="15.75" x14ac:dyDescent="0.25">
      <c r="A14" s="150">
        <f t="shared" si="0"/>
        <v>5</v>
      </c>
      <c r="B14" s="426" t="s">
        <v>257</v>
      </c>
      <c r="C14" s="436">
        <v>3</v>
      </c>
      <c r="D14" s="448">
        <v>19.05087</v>
      </c>
      <c r="E14" s="448"/>
      <c r="F14" s="450"/>
      <c r="G14" s="449">
        <v>19.05087</v>
      </c>
      <c r="I14" s="161"/>
    </row>
    <row r="15" spans="1:13" ht="15.75" x14ac:dyDescent="0.25">
      <c r="A15" s="150">
        <f t="shared" si="0"/>
        <v>6</v>
      </c>
      <c r="B15" s="426" t="s">
        <v>372</v>
      </c>
      <c r="C15" s="436">
        <v>3</v>
      </c>
      <c r="D15" s="448">
        <v>168.99202</v>
      </c>
      <c r="E15" s="448"/>
      <c r="F15" s="450"/>
      <c r="G15" s="449">
        <v>99.173550000000006</v>
      </c>
      <c r="H15" s="300"/>
      <c r="I15" s="161"/>
      <c r="J15" s="161"/>
      <c r="M15" s="161"/>
    </row>
    <row r="16" spans="1:13" ht="15.75" x14ac:dyDescent="0.25">
      <c r="A16" s="150">
        <f t="shared" si="0"/>
        <v>7</v>
      </c>
      <c r="B16" s="426" t="s">
        <v>259</v>
      </c>
      <c r="C16" s="436">
        <v>2</v>
      </c>
      <c r="D16" s="151">
        <v>7.8230000000000004</v>
      </c>
      <c r="E16" s="151"/>
      <c r="F16" s="445"/>
      <c r="G16" s="446">
        <v>7.8230000000000004</v>
      </c>
      <c r="I16" s="161"/>
    </row>
    <row r="17" spans="1:10" ht="14.25" customHeight="1" x14ac:dyDescent="0.25">
      <c r="A17" s="150">
        <f t="shared" si="0"/>
        <v>8</v>
      </c>
      <c r="B17" s="427" t="s">
        <v>260</v>
      </c>
      <c r="C17" s="437">
        <v>4</v>
      </c>
      <c r="D17" s="151">
        <v>21.3</v>
      </c>
      <c r="E17" s="151"/>
      <c r="F17" s="445"/>
      <c r="G17" s="449">
        <v>20.78736</v>
      </c>
    </row>
    <row r="18" spans="1:10" ht="18" customHeight="1" x14ac:dyDescent="0.25">
      <c r="A18" s="150">
        <f t="shared" si="0"/>
        <v>9</v>
      </c>
      <c r="B18" s="427" t="s">
        <v>261</v>
      </c>
      <c r="C18" s="437">
        <v>4</v>
      </c>
      <c r="D18" s="448">
        <v>9.19937</v>
      </c>
      <c r="E18" s="448"/>
      <c r="F18" s="450"/>
      <c r="G18" s="449">
        <v>9.19937</v>
      </c>
      <c r="H18" s="161"/>
      <c r="I18" s="161"/>
      <c r="J18" s="161"/>
    </row>
    <row r="19" spans="1:10" ht="15.75" x14ac:dyDescent="0.25">
      <c r="A19" s="150">
        <f t="shared" si="0"/>
        <v>10</v>
      </c>
      <c r="B19" s="426" t="s">
        <v>265</v>
      </c>
      <c r="C19" s="436">
        <v>5</v>
      </c>
      <c r="D19" s="448">
        <v>1.05515</v>
      </c>
      <c r="E19" s="448"/>
      <c r="F19" s="450"/>
      <c r="G19" s="449">
        <v>1.05515</v>
      </c>
      <c r="H19" s="161"/>
    </row>
    <row r="20" spans="1:10" ht="15.75" x14ac:dyDescent="0.25">
      <c r="A20" s="150">
        <f t="shared" si="0"/>
        <v>11</v>
      </c>
      <c r="B20" s="426" t="s">
        <v>266</v>
      </c>
      <c r="C20" s="436">
        <v>1</v>
      </c>
      <c r="D20" s="461">
        <v>0.28277999999999998</v>
      </c>
      <c r="E20" s="451"/>
      <c r="F20" s="452"/>
      <c r="G20" s="460">
        <v>0.28277999999999998</v>
      </c>
      <c r="H20" s="161"/>
      <c r="I20" s="161"/>
    </row>
    <row r="21" spans="1:10" ht="15.75" x14ac:dyDescent="0.25">
      <c r="A21" s="150">
        <f t="shared" si="0"/>
        <v>12</v>
      </c>
      <c r="B21" s="426" t="s">
        <v>267</v>
      </c>
      <c r="C21" s="436">
        <v>1</v>
      </c>
      <c r="D21" s="448">
        <v>4.5156000000000001</v>
      </c>
      <c r="E21" s="448"/>
      <c r="F21" s="450"/>
      <c r="G21" s="449">
        <v>2.30349</v>
      </c>
      <c r="H21" s="161"/>
    </row>
    <row r="22" spans="1:10" ht="15.75" x14ac:dyDescent="0.25">
      <c r="A22" s="150">
        <f t="shared" si="0"/>
        <v>13</v>
      </c>
      <c r="B22" s="426" t="s">
        <v>269</v>
      </c>
      <c r="C22" s="436">
        <v>1</v>
      </c>
      <c r="D22" s="448">
        <v>6.0334599999999998</v>
      </c>
      <c r="E22" s="448"/>
      <c r="F22" s="450"/>
      <c r="G22" s="449">
        <v>1.3192299999999999</v>
      </c>
      <c r="H22" s="162"/>
    </row>
    <row r="23" spans="1:10" ht="15.75" x14ac:dyDescent="0.25">
      <c r="A23" s="150">
        <f t="shared" si="0"/>
        <v>14</v>
      </c>
      <c r="B23" s="426" t="s">
        <v>271</v>
      </c>
      <c r="C23" s="436">
        <v>5</v>
      </c>
      <c r="D23" s="448">
        <v>0.28582000000000002</v>
      </c>
      <c r="E23" s="448"/>
      <c r="F23" s="450"/>
      <c r="G23" s="449">
        <v>0.28582000000000002</v>
      </c>
      <c r="H23" s="161"/>
    </row>
    <row r="24" spans="1:10" ht="15.75" x14ac:dyDescent="0.25">
      <c r="A24" s="150">
        <f t="shared" si="0"/>
        <v>15</v>
      </c>
      <c r="B24" s="426" t="s">
        <v>272</v>
      </c>
      <c r="C24" s="436">
        <v>1</v>
      </c>
      <c r="D24" s="448">
        <v>0.37225999999999998</v>
      </c>
      <c r="E24" s="448"/>
      <c r="F24" s="450"/>
      <c r="G24" s="449">
        <v>0.37225999999999998</v>
      </c>
      <c r="H24" s="161"/>
    </row>
    <row r="25" spans="1:10" ht="15.75" x14ac:dyDescent="0.25">
      <c r="A25" s="150">
        <f t="shared" si="0"/>
        <v>16</v>
      </c>
      <c r="B25" s="426" t="s">
        <v>273</v>
      </c>
      <c r="C25" s="436">
        <v>1</v>
      </c>
      <c r="D25" s="424">
        <v>4.1260000000000003</v>
      </c>
      <c r="E25" s="424"/>
      <c r="F25" s="442"/>
      <c r="G25" s="447">
        <v>0.74170000000000003</v>
      </c>
      <c r="H25" s="161"/>
    </row>
    <row r="26" spans="1:10" ht="15.75" x14ac:dyDescent="0.25">
      <c r="A26" s="150">
        <f t="shared" si="0"/>
        <v>17</v>
      </c>
      <c r="B26" s="426" t="s">
        <v>274</v>
      </c>
      <c r="C26" s="436">
        <v>1</v>
      </c>
      <c r="D26" s="448">
        <v>7.7721400000000003</v>
      </c>
      <c r="E26" s="448"/>
      <c r="F26" s="450"/>
      <c r="G26" s="449">
        <v>5.5149999999999997</v>
      </c>
      <c r="H26" s="161"/>
    </row>
    <row r="27" spans="1:10" ht="15.75" x14ac:dyDescent="0.25">
      <c r="A27" s="150">
        <f t="shared" si="0"/>
        <v>18</v>
      </c>
      <c r="B27" s="426" t="s">
        <v>276</v>
      </c>
      <c r="C27" s="436">
        <v>2</v>
      </c>
      <c r="D27" s="448">
        <v>3.0878100000000002</v>
      </c>
      <c r="E27" s="448"/>
      <c r="F27" s="450"/>
      <c r="G27" s="449">
        <v>3.0878100000000002</v>
      </c>
    </row>
    <row r="28" spans="1:10" ht="15.75" x14ac:dyDescent="0.25">
      <c r="A28" s="150">
        <f t="shared" si="0"/>
        <v>19</v>
      </c>
      <c r="B28" s="426" t="s">
        <v>277</v>
      </c>
      <c r="C28" s="436">
        <v>2</v>
      </c>
      <c r="D28" s="151">
        <v>13.484999999999999</v>
      </c>
      <c r="E28" s="151"/>
      <c r="F28" s="445"/>
      <c r="G28" s="446">
        <v>13.484999999999999</v>
      </c>
    </row>
    <row r="29" spans="1:10" ht="15.75" x14ac:dyDescent="0.25">
      <c r="A29" s="150">
        <f t="shared" si="0"/>
        <v>20</v>
      </c>
      <c r="B29" s="426" t="s">
        <v>278</v>
      </c>
      <c r="C29" s="436">
        <v>2</v>
      </c>
      <c r="D29" s="448">
        <v>1.3830800000000001</v>
      </c>
      <c r="E29" s="448"/>
      <c r="F29" s="450"/>
      <c r="G29" s="449">
        <v>1.3830800000000001</v>
      </c>
      <c r="H29" s="161"/>
    </row>
    <row r="30" spans="1:10" ht="15.75" x14ac:dyDescent="0.25">
      <c r="A30" s="150">
        <f t="shared" si="0"/>
        <v>21</v>
      </c>
      <c r="B30" s="426" t="s">
        <v>279</v>
      </c>
      <c r="C30" s="436">
        <v>2</v>
      </c>
      <c r="D30" s="448">
        <v>4.0400400000000003</v>
      </c>
      <c r="E30" s="448"/>
      <c r="F30" s="450"/>
      <c r="G30" s="449">
        <v>4.0400400000000003</v>
      </c>
    </row>
    <row r="31" spans="1:10" ht="15.75" x14ac:dyDescent="0.25">
      <c r="A31" s="150">
        <f t="shared" si="0"/>
        <v>22</v>
      </c>
      <c r="B31" s="426" t="s">
        <v>373</v>
      </c>
      <c r="C31" s="436">
        <v>2</v>
      </c>
      <c r="D31" s="448">
        <v>1.7055100000000001</v>
      </c>
      <c r="E31" s="448"/>
      <c r="F31" s="450"/>
      <c r="G31" s="449">
        <v>1.7055100000000001</v>
      </c>
    </row>
    <row r="32" spans="1:10" ht="15.75" x14ac:dyDescent="0.25">
      <c r="A32" s="150">
        <f t="shared" si="0"/>
        <v>23</v>
      </c>
      <c r="B32" s="426" t="s">
        <v>281</v>
      </c>
      <c r="C32" s="436">
        <v>2</v>
      </c>
      <c r="D32" s="448">
        <v>24.071719999999999</v>
      </c>
      <c r="E32" s="448"/>
      <c r="F32" s="450"/>
      <c r="G32" s="449">
        <v>23.14716</v>
      </c>
    </row>
    <row r="33" spans="1:7" ht="15.75" x14ac:dyDescent="0.25">
      <c r="A33" s="150">
        <f t="shared" si="0"/>
        <v>24</v>
      </c>
      <c r="B33" s="426" t="s">
        <v>298</v>
      </c>
      <c r="C33" s="436">
        <v>2</v>
      </c>
      <c r="D33" s="448">
        <v>0.74917999999999996</v>
      </c>
      <c r="E33" s="448"/>
      <c r="F33" s="450"/>
      <c r="G33" s="449">
        <v>0.74917999999999996</v>
      </c>
    </row>
    <row r="34" spans="1:7" ht="15.75" x14ac:dyDescent="0.25">
      <c r="A34" s="150">
        <f t="shared" si="0"/>
        <v>25</v>
      </c>
      <c r="B34" s="426" t="s">
        <v>374</v>
      </c>
      <c r="C34" s="436">
        <v>2</v>
      </c>
      <c r="D34" s="448">
        <v>0.114</v>
      </c>
      <c r="E34" s="448"/>
      <c r="F34" s="450"/>
      <c r="G34" s="449">
        <v>0.114</v>
      </c>
    </row>
    <row r="35" spans="1:7" ht="15.75" x14ac:dyDescent="0.25">
      <c r="A35" s="150">
        <f t="shared" si="0"/>
        <v>26</v>
      </c>
      <c r="B35" s="426" t="s">
        <v>290</v>
      </c>
      <c r="C35" s="436">
        <v>2</v>
      </c>
      <c r="D35" s="448">
        <v>3.2103999999999999</v>
      </c>
      <c r="E35" s="448"/>
      <c r="F35" s="450"/>
      <c r="G35" s="449">
        <v>3.2103999999999999</v>
      </c>
    </row>
    <row r="36" spans="1:7" ht="15.75" x14ac:dyDescent="0.25">
      <c r="A36" s="150">
        <f t="shared" si="0"/>
        <v>27</v>
      </c>
      <c r="B36" s="426" t="s">
        <v>291</v>
      </c>
      <c r="C36" s="436">
        <v>2</v>
      </c>
      <c r="D36" s="448">
        <v>0.80830000000000002</v>
      </c>
      <c r="E36" s="448"/>
      <c r="F36" s="450"/>
      <c r="G36" s="449">
        <v>0.80830000000000002</v>
      </c>
    </row>
    <row r="37" spans="1:7" ht="15.75" x14ac:dyDescent="0.25">
      <c r="A37" s="150">
        <f t="shared" si="0"/>
        <v>28</v>
      </c>
      <c r="B37" s="426" t="s">
        <v>375</v>
      </c>
      <c r="C37" s="436">
        <v>2</v>
      </c>
      <c r="D37" s="448">
        <v>3.15015</v>
      </c>
      <c r="E37" s="448"/>
      <c r="F37" s="450"/>
      <c r="G37" s="449">
        <v>3.15015</v>
      </c>
    </row>
    <row r="38" spans="1:7" ht="15.75" x14ac:dyDescent="0.25">
      <c r="A38" s="150">
        <f t="shared" si="0"/>
        <v>29</v>
      </c>
      <c r="B38" s="426" t="s">
        <v>376</v>
      </c>
      <c r="C38" s="436">
        <v>2</v>
      </c>
      <c r="D38" s="448">
        <v>0.56496000000000002</v>
      </c>
      <c r="E38" s="448"/>
      <c r="F38" s="450"/>
      <c r="G38" s="449">
        <v>0.56496000000000002</v>
      </c>
    </row>
    <row r="39" spans="1:7" ht="15.75" x14ac:dyDescent="0.25">
      <c r="A39" s="150">
        <f t="shared" si="0"/>
        <v>30</v>
      </c>
      <c r="B39" s="426" t="s">
        <v>294</v>
      </c>
      <c r="C39" s="436">
        <v>2</v>
      </c>
      <c r="D39" s="448">
        <v>1.36591</v>
      </c>
      <c r="E39" s="448"/>
      <c r="F39" s="450"/>
      <c r="G39" s="449">
        <v>1.36591</v>
      </c>
    </row>
    <row r="40" spans="1:7" ht="15.75" x14ac:dyDescent="0.25">
      <c r="A40" s="150">
        <f t="shared" si="0"/>
        <v>31</v>
      </c>
      <c r="B40" s="428" t="s">
        <v>295</v>
      </c>
      <c r="C40" s="438">
        <v>2</v>
      </c>
      <c r="D40" s="448">
        <v>1.0341</v>
      </c>
      <c r="E40" s="448"/>
      <c r="F40" s="450"/>
      <c r="G40" s="449">
        <v>1.0341</v>
      </c>
    </row>
    <row r="41" spans="1:7" ht="15.75" x14ac:dyDescent="0.25">
      <c r="A41" s="150">
        <f t="shared" si="0"/>
        <v>32</v>
      </c>
      <c r="B41" s="426" t="s">
        <v>377</v>
      </c>
      <c r="C41" s="436">
        <v>2</v>
      </c>
      <c r="D41" s="448">
        <v>1.54447</v>
      </c>
      <c r="E41" s="448"/>
      <c r="F41" s="450"/>
      <c r="G41" s="449">
        <v>1.54447</v>
      </c>
    </row>
    <row r="42" spans="1:7" ht="15.75" x14ac:dyDescent="0.25">
      <c r="A42" s="150">
        <f t="shared" si="0"/>
        <v>33</v>
      </c>
      <c r="B42" s="426" t="s">
        <v>378</v>
      </c>
      <c r="C42" s="436">
        <v>2</v>
      </c>
      <c r="D42" s="448">
        <v>1.54E-2</v>
      </c>
      <c r="E42" s="448"/>
      <c r="F42" s="450"/>
      <c r="G42" s="449">
        <v>1.54E-2</v>
      </c>
    </row>
    <row r="43" spans="1:7" ht="15.75" x14ac:dyDescent="0.25">
      <c r="A43" s="150">
        <f t="shared" si="0"/>
        <v>34</v>
      </c>
      <c r="B43" s="426" t="s">
        <v>299</v>
      </c>
      <c r="C43" s="436">
        <v>2</v>
      </c>
      <c r="D43" s="448">
        <v>9.7041400000000007</v>
      </c>
      <c r="E43" s="448"/>
      <c r="F43" s="450"/>
      <c r="G43" s="449">
        <v>9.7041400000000007</v>
      </c>
    </row>
    <row r="44" spans="1:7" ht="15.75" x14ac:dyDescent="0.25">
      <c r="A44" s="150">
        <f t="shared" si="0"/>
        <v>35</v>
      </c>
      <c r="B44" s="426" t="s">
        <v>300</v>
      </c>
      <c r="C44" s="436">
        <v>2</v>
      </c>
      <c r="D44" s="448">
        <v>5.1862899999999996</v>
      </c>
      <c r="E44" s="448"/>
      <c r="F44" s="450"/>
      <c r="G44" s="449">
        <v>5.1862899999999996</v>
      </c>
    </row>
    <row r="45" spans="1:7" ht="15.75" x14ac:dyDescent="0.25">
      <c r="A45" s="150">
        <f t="shared" si="0"/>
        <v>36</v>
      </c>
      <c r="B45" s="426" t="s">
        <v>301</v>
      </c>
      <c r="C45" s="436">
        <v>2</v>
      </c>
      <c r="D45" s="448">
        <v>7.18628</v>
      </c>
      <c r="E45" s="448"/>
      <c r="F45" s="450"/>
      <c r="G45" s="449">
        <v>7.18628</v>
      </c>
    </row>
    <row r="46" spans="1:7" ht="15.75" x14ac:dyDescent="0.25">
      <c r="A46" s="150">
        <f t="shared" si="0"/>
        <v>37</v>
      </c>
      <c r="B46" s="428" t="s">
        <v>302</v>
      </c>
      <c r="C46" s="438">
        <v>2</v>
      </c>
      <c r="D46" s="448">
        <v>6.9538900000000003</v>
      </c>
      <c r="E46" s="448"/>
      <c r="F46" s="450"/>
      <c r="G46" s="449">
        <v>6.9538900000000003</v>
      </c>
    </row>
    <row r="47" spans="1:7" ht="15.75" x14ac:dyDescent="0.25">
      <c r="A47" s="150">
        <f t="shared" si="0"/>
        <v>38</v>
      </c>
      <c r="B47" s="426" t="s">
        <v>304</v>
      </c>
      <c r="C47" s="436">
        <v>2</v>
      </c>
      <c r="D47" s="448">
        <v>0.1</v>
      </c>
      <c r="E47" s="448"/>
      <c r="F47" s="450"/>
      <c r="G47" s="449">
        <v>0.1</v>
      </c>
    </row>
    <row r="48" spans="1:7" ht="15.75" x14ac:dyDescent="0.25">
      <c r="A48" s="150">
        <f t="shared" si="0"/>
        <v>39</v>
      </c>
      <c r="B48" s="426" t="s">
        <v>305</v>
      </c>
      <c r="C48" s="436">
        <v>2</v>
      </c>
      <c r="D48" s="448">
        <v>3.6482999999999999</v>
      </c>
      <c r="E48" s="448"/>
      <c r="F48" s="450"/>
      <c r="G48" s="449">
        <v>3.6482999999999999</v>
      </c>
    </row>
    <row r="49" spans="1:8" ht="15.75" x14ac:dyDescent="0.25">
      <c r="A49" s="150">
        <f t="shared" si="0"/>
        <v>40</v>
      </c>
      <c r="B49" s="429" t="s">
        <v>379</v>
      </c>
      <c r="C49" s="439">
        <v>2</v>
      </c>
      <c r="D49" s="448">
        <v>1.45855</v>
      </c>
      <c r="E49" s="448"/>
      <c r="F49" s="450"/>
      <c r="G49" s="449">
        <v>1.45855</v>
      </c>
    </row>
    <row r="50" spans="1:8" ht="31.5" x14ac:dyDescent="0.25">
      <c r="A50" s="150">
        <f t="shared" si="0"/>
        <v>41</v>
      </c>
      <c r="B50" s="429" t="s">
        <v>380</v>
      </c>
      <c r="C50" s="439">
        <v>6</v>
      </c>
      <c r="D50" s="448"/>
      <c r="E50" s="448">
        <v>234.10410999999999</v>
      </c>
      <c r="F50" s="450"/>
      <c r="G50" s="449">
        <v>76.124210000000005</v>
      </c>
    </row>
    <row r="51" spans="1:8" ht="15.75" x14ac:dyDescent="0.25">
      <c r="A51" s="150">
        <v>42</v>
      </c>
      <c r="B51" s="429" t="s">
        <v>381</v>
      </c>
      <c r="C51" s="439"/>
      <c r="D51" s="448"/>
      <c r="E51" s="448"/>
      <c r="F51" s="450">
        <v>384.22431</v>
      </c>
      <c r="G51" s="449">
        <v>384.22431</v>
      </c>
    </row>
    <row r="52" spans="1:8" ht="15.75" x14ac:dyDescent="0.25">
      <c r="A52" s="152">
        <v>43</v>
      </c>
      <c r="B52" s="429" t="s">
        <v>382</v>
      </c>
      <c r="C52" s="439">
        <v>1</v>
      </c>
      <c r="D52" s="448"/>
      <c r="E52" s="448"/>
      <c r="F52" s="450">
        <v>301.82431000000003</v>
      </c>
      <c r="G52" s="449">
        <v>301.82431000000003</v>
      </c>
      <c r="H52" s="163"/>
    </row>
    <row r="53" spans="1:8" ht="15.75" x14ac:dyDescent="0.25">
      <c r="A53" s="152">
        <v>44</v>
      </c>
      <c r="B53" s="430" t="s">
        <v>383</v>
      </c>
      <c r="C53" s="440">
        <v>1</v>
      </c>
      <c r="D53" s="448"/>
      <c r="E53" s="448"/>
      <c r="F53" s="450">
        <v>82.4</v>
      </c>
      <c r="G53" s="449">
        <v>82.4</v>
      </c>
    </row>
    <row r="54" spans="1:8" ht="15.75" x14ac:dyDescent="0.25">
      <c r="A54" s="150">
        <v>45</v>
      </c>
      <c r="B54" s="431" t="s">
        <v>384</v>
      </c>
      <c r="C54" s="441"/>
      <c r="D54" s="448"/>
      <c r="E54" s="448"/>
      <c r="F54" s="450">
        <v>36.5</v>
      </c>
      <c r="G54" s="449">
        <v>0</v>
      </c>
    </row>
    <row r="55" spans="1:8" ht="31.5" x14ac:dyDescent="0.25">
      <c r="A55" s="152">
        <v>46</v>
      </c>
      <c r="B55" s="431" t="s">
        <v>385</v>
      </c>
      <c r="C55" s="441">
        <v>4</v>
      </c>
      <c r="D55" s="448"/>
      <c r="E55" s="448"/>
      <c r="F55" s="450">
        <v>36.5</v>
      </c>
      <c r="G55" s="449">
        <v>0</v>
      </c>
    </row>
    <row r="56" spans="1:8" ht="15.75" x14ac:dyDescent="0.25">
      <c r="A56" s="150">
        <v>47</v>
      </c>
      <c r="B56" s="431" t="s">
        <v>386</v>
      </c>
      <c r="C56" s="441"/>
      <c r="D56" s="448"/>
      <c r="E56" s="448"/>
      <c r="F56" s="450">
        <f>F57</f>
        <v>6.3569000000000004</v>
      </c>
      <c r="G56" s="449">
        <f>G57</f>
        <v>6.3569000000000004</v>
      </c>
    </row>
    <row r="57" spans="1:8" ht="47.25" x14ac:dyDescent="0.25">
      <c r="A57" s="150">
        <v>48</v>
      </c>
      <c r="B57" s="429" t="s">
        <v>387</v>
      </c>
      <c r="C57" s="439">
        <v>2</v>
      </c>
      <c r="D57" s="448"/>
      <c r="E57" s="448"/>
      <c r="F57" s="450">
        <v>6.3569000000000004</v>
      </c>
      <c r="G57" s="449">
        <v>6.3569000000000004</v>
      </c>
    </row>
    <row r="58" spans="1:8" ht="15.75" x14ac:dyDescent="0.25">
      <c r="A58" s="150">
        <v>49</v>
      </c>
      <c r="B58" s="431" t="s">
        <v>388</v>
      </c>
      <c r="C58" s="441"/>
      <c r="D58" s="448"/>
      <c r="E58" s="448"/>
      <c r="F58" s="450">
        <f>F59+F60</f>
        <v>1257.1431</v>
      </c>
      <c r="G58" s="449">
        <f>G59+G60</f>
        <v>1251.4627700000001</v>
      </c>
    </row>
    <row r="59" spans="1:8" ht="47.25" x14ac:dyDescent="0.25">
      <c r="A59" s="150">
        <v>50</v>
      </c>
      <c r="B59" s="429" t="s">
        <v>387</v>
      </c>
      <c r="C59" s="439">
        <v>5</v>
      </c>
      <c r="D59" s="448"/>
      <c r="E59" s="448"/>
      <c r="F59" s="450">
        <v>757.1431</v>
      </c>
      <c r="G59" s="449">
        <v>753.8845</v>
      </c>
      <c r="H59" s="163"/>
    </row>
    <row r="60" spans="1:8" ht="16.5" thickBot="1" x14ac:dyDescent="0.3">
      <c r="A60" s="150">
        <v>51</v>
      </c>
      <c r="B60" s="432" t="s">
        <v>389</v>
      </c>
      <c r="C60" s="443">
        <v>5</v>
      </c>
      <c r="D60" s="448"/>
      <c r="E60" s="448"/>
      <c r="F60" s="450">
        <v>500</v>
      </c>
      <c r="G60" s="453">
        <v>497.57826999999997</v>
      </c>
    </row>
    <row r="61" spans="1:8" ht="16.5" thickBot="1" x14ac:dyDescent="0.3">
      <c r="A61" s="423">
        <f t="shared" si="0"/>
        <v>52</v>
      </c>
      <c r="B61" s="433" t="s">
        <v>390</v>
      </c>
      <c r="C61" s="444"/>
      <c r="D61" s="454">
        <f>SUM(D10:D49)</f>
        <v>495.64853999999991</v>
      </c>
      <c r="E61" s="454">
        <f>E50</f>
        <v>234.10410999999999</v>
      </c>
      <c r="F61" s="455">
        <f>F51+F54+F58+F56</f>
        <v>1684.2243100000001</v>
      </c>
      <c r="G61" s="456">
        <f>SUM(G58,G56,G54,G51,G10:G50)</f>
        <v>2013.5045400000006</v>
      </c>
      <c r="H61" s="163"/>
    </row>
    <row r="62" spans="1:8" ht="16.5" thickBot="1" x14ac:dyDescent="0.3">
      <c r="A62" s="153"/>
      <c r="B62" s="149"/>
      <c r="C62" s="149"/>
      <c r="D62" s="154"/>
      <c r="E62" s="154"/>
      <c r="F62" s="155"/>
      <c r="G62" s="164"/>
      <c r="H62" s="161"/>
    </row>
    <row r="63" spans="1:8" ht="15.75" x14ac:dyDescent="0.25">
      <c r="A63" s="156"/>
      <c r="B63" s="496" t="s">
        <v>391</v>
      </c>
      <c r="C63" s="496"/>
      <c r="D63" s="497"/>
      <c r="E63" s="497"/>
      <c r="F63" s="498"/>
      <c r="G63" s="165"/>
    </row>
    <row r="64" spans="1:8" ht="32.25" thickBot="1" x14ac:dyDescent="0.3">
      <c r="A64" s="157" t="s">
        <v>134</v>
      </c>
      <c r="B64" s="33" t="s">
        <v>392</v>
      </c>
      <c r="C64" s="22" t="s">
        <v>393</v>
      </c>
      <c r="D64" s="507" t="s">
        <v>136</v>
      </c>
      <c r="E64" s="508"/>
      <c r="F64" s="508"/>
      <c r="G64" s="166"/>
    </row>
    <row r="65" spans="1:7" ht="16.5" thickBot="1" x14ac:dyDescent="0.3">
      <c r="A65" s="158" t="s">
        <v>394</v>
      </c>
      <c r="B65" s="167" t="s">
        <v>395</v>
      </c>
      <c r="C65" s="159">
        <v>5</v>
      </c>
      <c r="D65" s="489">
        <f>1067.7-402.0226</f>
        <v>665.67740000000003</v>
      </c>
      <c r="E65" s="490"/>
      <c r="F65" s="490"/>
      <c r="G65" s="457">
        <v>555.90630999999996</v>
      </c>
    </row>
    <row r="67" spans="1:7" x14ac:dyDescent="0.25">
      <c r="C67" s="161"/>
      <c r="F67" s="161"/>
      <c r="G67" s="301"/>
    </row>
    <row r="70" spans="1:7" x14ac:dyDescent="0.25">
      <c r="F70" s="161"/>
    </row>
  </sheetData>
  <mergeCells count="10">
    <mergeCell ref="C6:F6"/>
    <mergeCell ref="G6:G9"/>
    <mergeCell ref="A6:A9"/>
    <mergeCell ref="B6:B9"/>
    <mergeCell ref="D64:F64"/>
    <mergeCell ref="D65:F65"/>
    <mergeCell ref="D7:D9"/>
    <mergeCell ref="E7:E9"/>
    <mergeCell ref="F7:F9"/>
    <mergeCell ref="B63:F63"/>
  </mergeCells>
  <pageMargins left="0.23622047244094491" right="0.23622047244094491" top="0.74803149606299213" bottom="0.35433070866141736" header="0.31496062992125984" footer="0.31496062992125984"/>
  <pageSetup paperSize="9" scale="7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Titulinis</vt:lpstr>
      <vt:lpstr>PAJAMOS</vt:lpstr>
      <vt:lpstr>IŠLAIDOS PAGAL ASIGN. VALDYT.</vt:lpstr>
      <vt:lpstr>IŠŠLAIDOS PAGAL PROGRAMAS</vt:lpstr>
      <vt:lpstr>ASIGNAVIMAI IŠ APYVARTOS IR SKO</vt:lpstr>
      <vt:lpstr>'ASIGNAVIMAI IŠ APYVARTOS IR SKO'!Print_Titles</vt:lpstr>
      <vt:lpstr>'IŠLAIDOS PAGAL ASIGN. VALDYT.'!Print_Titles</vt:lpstr>
      <vt:lpstr>'IŠŠLAIDOS PAGAL PROGRAMAS'!Print_Titles</vt:lpstr>
      <vt:lpstr>PAJAMOS!Print_Titles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Redutė Dūdienė</dc:creator>
  <cp:lastModifiedBy>Rasa Virbalienė</cp:lastModifiedBy>
  <cp:lastPrinted>2024-05-30T11:57:15Z</cp:lastPrinted>
  <dcterms:created xsi:type="dcterms:W3CDTF">2024-01-11T06:20:59Z</dcterms:created>
  <dcterms:modified xsi:type="dcterms:W3CDTF">2024-05-30T11:57:21Z</dcterms:modified>
</cp:coreProperties>
</file>